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0 г\Отчет об исполнении за 2020 год\3 Иные материалы\"/>
    </mc:Choice>
  </mc:AlternateContent>
  <bookViews>
    <workbookView xWindow="0" yWindow="0" windowWidth="16380" windowHeight="8190" tabRatio="903" activeTab="6"/>
  </bookViews>
  <sheets>
    <sheet name="Администрация (ТК Салават)" sheetId="1" r:id="rId1"/>
    <sheet name="ГО и ЧС (Пож.охрана)" sheetId="2" r:id="rId2"/>
    <sheet name="УГХ (Ритуал, Флора)" sheetId="3" r:id="rId3"/>
    <sheet name="ОК" sheetId="4" r:id="rId4"/>
    <sheet name="УФКС" sheetId="5" r:id="rId5"/>
    <sheet name="КДМ" sheetId="6" r:id="rId6"/>
    <sheet name="УО" sheetId="7" r:id="rId7"/>
    <sheet name="Пример заполн. по Минкультуры" sheetId="8" r:id="rId8"/>
    <sheet name="Пример заполнения по Минобр." sheetId="9" r:id="rId9"/>
    <sheet name="Пример заполнения по Госком. ЧС" sheetId="10" r:id="rId10"/>
  </sheets>
  <definedNames>
    <definedName name="_xlnm._FilterDatabase" localSheetId="0">'Администрация (ТК Салават)'!$A$7:$AI$10</definedName>
    <definedName name="_xlnm._FilterDatabase" localSheetId="1">'ГО и ЧС (Пож.охрана)'!$A$7:$AI$11</definedName>
    <definedName name="_xlnm._FilterDatabase" localSheetId="5">КДМ!$A$7:$AI$10</definedName>
    <definedName name="_xlnm._FilterDatabase" localSheetId="3">ОК!$A$7:$AI$14</definedName>
    <definedName name="_xlnm._FilterDatabase" localSheetId="7">'Пример заполн. по Минкультуры'!$A$7:$AI$79</definedName>
    <definedName name="_xlnm._FilterDatabase" localSheetId="2">'УГХ (Ритуал, Флора)'!$A$7:$AI$14</definedName>
    <definedName name="_xlnm._FilterDatabase" localSheetId="6">УО!$A$7:$AI$34</definedName>
    <definedName name="_xlnm._FilterDatabase" localSheetId="4">УФКС!$A$7:$AI$13</definedName>
    <definedName name="_xlnm.Print_Titles" localSheetId="0">'Администрация (ТК Салават)'!$3:$7</definedName>
    <definedName name="_xlnm.Print_Titles" localSheetId="1">'ГО и ЧС (Пож.охрана)'!$3:$7</definedName>
    <definedName name="_xlnm.Print_Titles" localSheetId="5">КДМ!$3:$7</definedName>
    <definedName name="_xlnm.Print_Titles" localSheetId="3">ОК!$3:$7</definedName>
    <definedName name="_xlnm.Print_Titles" localSheetId="7">'Пример заполн. по Минкультуры'!$7:$7</definedName>
    <definedName name="_xlnm.Print_Titles" localSheetId="2">'УГХ (Ритуал, Флора)'!$3:$7</definedName>
    <definedName name="_xlnm.Print_Titles" localSheetId="6">УО!$3:$7</definedName>
    <definedName name="_xlnm.Print_Titles" localSheetId="4">УФКС!$3:$7</definedName>
    <definedName name="_xlnm.Print_Area" localSheetId="0">'Администрация (ТК Салават)'!$A$1:$AI$22</definedName>
    <definedName name="_xlnm.Print_Area" localSheetId="1">'ГО и ЧС (Пож.охрана)'!$A$1:$AI$22</definedName>
    <definedName name="_xlnm.Print_Area" localSheetId="5">КДМ!$A$1:$AI$22</definedName>
    <definedName name="_xlnm.Print_Area" localSheetId="3">ОК!$A$1:$AI$26</definedName>
    <definedName name="_xlnm.Print_Area" localSheetId="7">'Пример заполн. по Минкультуры'!$A$1:$AI$79</definedName>
    <definedName name="_xlnm.Print_Area" localSheetId="8">'Пример заполнения по Минобр.'!$A$1:$AI$30</definedName>
    <definedName name="_xlnm.Print_Area" localSheetId="2">'УГХ (Ритуал, Флора)'!$A$1:$AI$44</definedName>
    <definedName name="_xlnm.Print_Area" localSheetId="6">УО!$A$1:$AI$45</definedName>
    <definedName name="_xlnm.Print_Area" localSheetId="4">УФКС!$A$1:$AI$24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24" i="7" l="1"/>
  <c r="V24" i="7"/>
  <c r="V27" i="7"/>
  <c r="V25" i="7"/>
  <c r="L27" i="7"/>
  <c r="L25" i="7"/>
  <c r="L24" i="7"/>
  <c r="L21" i="7"/>
  <c r="H27" i="7"/>
  <c r="H24" i="7"/>
  <c r="H25" i="7"/>
  <c r="AI24" i="7"/>
  <c r="U33" i="7"/>
  <c r="U34" i="7" s="1"/>
  <c r="T33" i="7"/>
  <c r="T34" i="7" s="1"/>
  <c r="P33" i="7"/>
  <c r="P34" i="7" s="1"/>
  <c r="Q34" i="7" s="1"/>
  <c r="O33" i="7"/>
  <c r="O34" i="7" s="1"/>
  <c r="AD27" i="7"/>
  <c r="Z27" i="7"/>
  <c r="Y27" i="7"/>
  <c r="Q27" i="7"/>
  <c r="AD25" i="7"/>
  <c r="Z25" i="7"/>
  <c r="Y25" i="7"/>
  <c r="Q25" i="7"/>
  <c r="Z24" i="7"/>
  <c r="Y24" i="7"/>
  <c r="Q24" i="7"/>
  <c r="AI23" i="7"/>
  <c r="AI22" i="7"/>
  <c r="AI21" i="7"/>
  <c r="AD21" i="7"/>
  <c r="AA21" i="7"/>
  <c r="Z21" i="7"/>
  <c r="Y21" i="7"/>
  <c r="V21" i="7"/>
  <c r="Q21" i="7"/>
  <c r="H21" i="7"/>
  <c r="AI20" i="7"/>
  <c r="AI19" i="7"/>
  <c r="AI18" i="7"/>
  <c r="AI17" i="7"/>
  <c r="AD17" i="7"/>
  <c r="AA17" i="7"/>
  <c r="Z17" i="7"/>
  <c r="Y17" i="7"/>
  <c r="V17" i="7"/>
  <c r="Q17" i="7"/>
  <c r="L17" i="7"/>
  <c r="H17" i="7"/>
  <c r="AI16" i="7"/>
  <c r="AI15" i="7"/>
  <c r="AI14" i="7"/>
  <c r="AI13" i="7"/>
  <c r="AD13" i="7"/>
  <c r="AA13" i="7"/>
  <c r="Z13" i="7"/>
  <c r="Y13" i="7"/>
  <c r="V13" i="7"/>
  <c r="Q13" i="7"/>
  <c r="L13" i="7"/>
  <c r="H13" i="7"/>
  <c r="AI12" i="7"/>
  <c r="AI11" i="7"/>
  <c r="AI10" i="7"/>
  <c r="AI9" i="7"/>
  <c r="AD9" i="7"/>
  <c r="AA9" i="7"/>
  <c r="Z9" i="7"/>
  <c r="Y9" i="7"/>
  <c r="V9" i="7"/>
  <c r="Q9" i="7"/>
  <c r="L9" i="7"/>
  <c r="H9" i="7"/>
  <c r="AD8" i="7"/>
  <c r="AD33" i="7" s="1"/>
  <c r="AD34" i="7" s="1"/>
  <c r="AA8" i="7"/>
  <c r="Z8" i="7"/>
  <c r="Y8" i="7"/>
  <c r="V8" i="7"/>
  <c r="Q8" i="7"/>
  <c r="L8" i="7"/>
  <c r="H8" i="7"/>
  <c r="AA24" i="7" l="1"/>
  <c r="AA27" i="7"/>
  <c r="AA25" i="7"/>
  <c r="V33" i="7"/>
  <c r="V34" i="7"/>
  <c r="Q33" i="7"/>
  <c r="AD15" i="4"/>
  <c r="AD11" i="4"/>
  <c r="AD9" i="4"/>
  <c r="AD10" i="4"/>
  <c r="AD8" i="4"/>
  <c r="U15" i="4" l="1"/>
  <c r="T15" i="4"/>
  <c r="O15" i="4"/>
  <c r="AD14" i="4"/>
  <c r="U14" i="4"/>
  <c r="V14" i="4" s="1"/>
  <c r="T14" i="4"/>
  <c r="Q14" i="4"/>
  <c r="P14" i="4"/>
  <c r="P15" i="4" s="1"/>
  <c r="Q15" i="4" s="1"/>
  <c r="O14" i="4"/>
  <c r="L13" i="4"/>
  <c r="H13" i="4"/>
  <c r="L12" i="4"/>
  <c r="H12" i="4"/>
  <c r="AI11" i="4"/>
  <c r="AA11" i="4"/>
  <c r="Z11" i="4"/>
  <c r="Y11" i="4"/>
  <c r="V11" i="4"/>
  <c r="Q11" i="4"/>
  <c r="L11" i="4"/>
  <c r="H11" i="4"/>
  <c r="AI10" i="4"/>
  <c r="AA10" i="4"/>
  <c r="Z10" i="4"/>
  <c r="Y10" i="4"/>
  <c r="V10" i="4"/>
  <c r="Q10" i="4"/>
  <c r="L10" i="4"/>
  <c r="H10" i="4"/>
  <c r="AI9" i="4"/>
  <c r="AA9" i="4"/>
  <c r="Z9" i="4"/>
  <c r="Y9" i="4"/>
  <c r="V9" i="4"/>
  <c r="Q9" i="4"/>
  <c r="L9" i="4"/>
  <c r="H9" i="4"/>
  <c r="AI8" i="4"/>
  <c r="AA8" i="4"/>
  <c r="Z8" i="4"/>
  <c r="Y8" i="4"/>
  <c r="V8" i="4"/>
  <c r="Q8" i="4"/>
  <c r="L8" i="4"/>
  <c r="H8" i="4"/>
  <c r="V15" i="4" l="1"/>
  <c r="Z9" i="5"/>
  <c r="Z10" i="5"/>
  <c r="Z11" i="5"/>
  <c r="Z8" i="5"/>
  <c r="AA11" i="5"/>
  <c r="Y9" i="5"/>
  <c r="Y10" i="5"/>
  <c r="Y11" i="5"/>
  <c r="Y8" i="5"/>
  <c r="O13" i="5"/>
  <c r="P12" i="5"/>
  <c r="P13" i="5" s="1"/>
  <c r="AI11" i="5"/>
  <c r="U11" i="5"/>
  <c r="T11" i="5"/>
  <c r="V11" i="5" s="1"/>
  <c r="O11" i="5"/>
  <c r="L11" i="5"/>
  <c r="H11" i="5"/>
  <c r="AI10" i="5"/>
  <c r="U10" i="5"/>
  <c r="T10" i="5"/>
  <c r="O10" i="5"/>
  <c r="L10" i="5"/>
  <c r="H10" i="5"/>
  <c r="AH9" i="5"/>
  <c r="AI9" i="5" s="1"/>
  <c r="AG9" i="5"/>
  <c r="V9" i="5"/>
  <c r="U9" i="5"/>
  <c r="T9" i="5"/>
  <c r="AD9" i="5" s="1"/>
  <c r="O9" i="5"/>
  <c r="K9" i="5"/>
  <c r="L9" i="5" s="1"/>
  <c r="G9" i="5"/>
  <c r="F9" i="5"/>
  <c r="AH8" i="5"/>
  <c r="AG8" i="5"/>
  <c r="AI8" i="5" s="1"/>
  <c r="U8" i="5"/>
  <c r="U12" i="5" s="1"/>
  <c r="U13" i="5" s="1"/>
  <c r="V13" i="5" s="1"/>
  <c r="T8" i="5"/>
  <c r="T12" i="5" s="1"/>
  <c r="O8" i="5"/>
  <c r="K8" i="5"/>
  <c r="AE8" i="5" s="1"/>
  <c r="G8" i="5"/>
  <c r="F8" i="5"/>
  <c r="H8" i="5" l="1"/>
  <c r="AA8" i="5"/>
  <c r="AA9" i="5"/>
  <c r="AD10" i="5"/>
  <c r="AD12" i="5"/>
  <c r="AD13" i="5" s="1"/>
  <c r="T13" i="5"/>
  <c r="AA10" i="5"/>
  <c r="O12" i="5"/>
  <c r="L8" i="5"/>
  <c r="H9" i="5"/>
  <c r="Q9" i="5"/>
  <c r="V12" i="5"/>
  <c r="AD8" i="5"/>
  <c r="V10" i="5"/>
  <c r="AD11" i="5"/>
  <c r="V8" i="5"/>
  <c r="Q8" i="5"/>
  <c r="Q10" i="5"/>
  <c r="Q11" i="5"/>
  <c r="Z21" i="3"/>
  <c r="Y21" i="3"/>
  <c r="Z16" i="3"/>
  <c r="Y16" i="3"/>
  <c r="Z10" i="3"/>
  <c r="Y10" i="3"/>
  <c r="Z9" i="3"/>
  <c r="Y9" i="3"/>
  <c r="Z8" i="3"/>
  <c r="AA8" i="3" s="1"/>
  <c r="Y8" i="3"/>
  <c r="AD9" i="1"/>
  <c r="AD10" i="1" s="1"/>
  <c r="U10" i="1"/>
  <c r="T10" i="1"/>
  <c r="U9" i="1"/>
  <c r="T9" i="1"/>
  <c r="P9" i="1"/>
  <c r="P10" i="1" s="1"/>
  <c r="O9" i="1"/>
  <c r="O10" i="1" s="1"/>
  <c r="Z8" i="1"/>
  <c r="Y8" i="1"/>
  <c r="Y9" i="6"/>
  <c r="Y8" i="6"/>
  <c r="Z9" i="6"/>
  <c r="Z8" i="6"/>
  <c r="AI8" i="3"/>
  <c r="AD21" i="3"/>
  <c r="AD16" i="3"/>
  <c r="AD11" i="3"/>
  <c r="AD10" i="3"/>
  <c r="AD9" i="3"/>
  <c r="AD8" i="3"/>
  <c r="AD8" i="2"/>
  <c r="AA11" i="3"/>
  <c r="Z11" i="3"/>
  <c r="Y11" i="3"/>
  <c r="AA10" i="3"/>
  <c r="AA8" i="8"/>
  <c r="Z8" i="2"/>
  <c r="Y8" i="2"/>
  <c r="Y8" i="10"/>
  <c r="Y8" i="8"/>
  <c r="Z8" i="8"/>
  <c r="P18" i="3"/>
  <c r="O18" i="3"/>
  <c r="H10" i="3"/>
  <c r="H11" i="3"/>
  <c r="H12" i="3"/>
  <c r="H13" i="3"/>
  <c r="H14" i="3"/>
  <c r="H15" i="3"/>
  <c r="H16" i="3"/>
  <c r="H17" i="3"/>
  <c r="L8" i="3"/>
  <c r="Q10" i="3"/>
  <c r="U18" i="3"/>
  <c r="AD18" i="3" s="1"/>
  <c r="T18" i="3"/>
  <c r="AI9" i="3"/>
  <c r="V9" i="3"/>
  <c r="Q9" i="3"/>
  <c r="L9" i="3"/>
  <c r="H9" i="3"/>
  <c r="V8" i="3"/>
  <c r="Q8" i="3"/>
  <c r="H8" i="3"/>
  <c r="Q13" i="5" l="1"/>
  <c r="Q12" i="5"/>
  <c r="AA21" i="3"/>
  <c r="AA16" i="3"/>
  <c r="AA9" i="3"/>
  <c r="V18" i="3"/>
  <c r="Q18" i="3"/>
  <c r="U10" i="6"/>
  <c r="U11" i="6" s="1"/>
  <c r="T10" i="6"/>
  <c r="AD10" i="6" s="1"/>
  <c r="AD11" i="6" s="1"/>
  <c r="P10" i="6"/>
  <c r="P11" i="6" s="1"/>
  <c r="O10" i="6"/>
  <c r="O11" i="6" s="1"/>
  <c r="AI9" i="6"/>
  <c r="V9" i="6"/>
  <c r="Q9" i="6"/>
  <c r="L9" i="6"/>
  <c r="H9" i="6"/>
  <c r="AI8" i="6"/>
  <c r="V8" i="6"/>
  <c r="Q8" i="6"/>
  <c r="H8" i="6"/>
  <c r="AA9" i="6" l="1"/>
  <c r="AA8" i="6"/>
  <c r="T11" i="6"/>
  <c r="Q11" i="6"/>
  <c r="V11" i="6"/>
  <c r="V10" i="6"/>
  <c r="Q10" i="6"/>
  <c r="AD33" i="3" l="1"/>
  <c r="U33" i="3"/>
  <c r="T33" i="3"/>
  <c r="P33" i="3"/>
  <c r="O33" i="3"/>
  <c r="AD32" i="3"/>
  <c r="V32" i="3"/>
  <c r="Q32" i="3"/>
  <c r="U31" i="3"/>
  <c r="T31" i="3"/>
  <c r="AD31" i="3" s="1"/>
  <c r="P31" i="3"/>
  <c r="O31" i="3"/>
  <c r="L30" i="3"/>
  <c r="H30" i="3"/>
  <c r="L29" i="3"/>
  <c r="H29" i="3"/>
  <c r="L28" i="3"/>
  <c r="H28" i="3"/>
  <c r="L27" i="3"/>
  <c r="H27" i="3"/>
  <c r="L26" i="3"/>
  <c r="H26" i="3"/>
  <c r="L25" i="3"/>
  <c r="H25" i="3"/>
  <c r="L24" i="3"/>
  <c r="H24" i="3"/>
  <c r="L23" i="3"/>
  <c r="H23" i="3"/>
  <c r="L22" i="3"/>
  <c r="H22" i="3"/>
  <c r="AI21" i="3"/>
  <c r="V21" i="3"/>
  <c r="Q21" i="3"/>
  <c r="L21" i="3"/>
  <c r="H21" i="3"/>
  <c r="V33" i="3" l="1"/>
  <c r="Q33" i="3"/>
  <c r="V31" i="3"/>
  <c r="Q31" i="3"/>
  <c r="U20" i="3" l="1"/>
  <c r="T20" i="3"/>
  <c r="P20" i="3"/>
  <c r="O20" i="3"/>
  <c r="AD19" i="3"/>
  <c r="V19" i="3"/>
  <c r="Q19" i="3"/>
  <c r="AD20" i="3"/>
  <c r="Q20" i="3" l="1"/>
  <c r="V20" i="3"/>
  <c r="U10" i="2" l="1"/>
  <c r="T10" i="2"/>
  <c r="P10" i="2"/>
  <c r="O10" i="2"/>
  <c r="O11" i="2" s="1"/>
  <c r="AI9" i="2"/>
  <c r="AI8" i="2"/>
  <c r="V8" i="2"/>
  <c r="Q8" i="2"/>
  <c r="L8" i="2"/>
  <c r="H8" i="2"/>
  <c r="Q10" i="2" l="1"/>
  <c r="AD10" i="2"/>
  <c r="AD11" i="2" s="1"/>
  <c r="V10" i="2"/>
  <c r="U11" i="2"/>
  <c r="P11" i="2"/>
  <c r="Q11" i="2" s="1"/>
  <c r="T11" i="2"/>
  <c r="V11" i="2" l="1"/>
  <c r="AD8" i="1" l="1"/>
  <c r="Q10" i="1"/>
  <c r="V8" i="1"/>
  <c r="Q8" i="1"/>
  <c r="P23" i="10"/>
  <c r="U21" i="10"/>
  <c r="V21" i="10" s="1"/>
  <c r="V23" i="10" s="1"/>
  <c r="T21" i="10"/>
  <c r="T23" i="10" s="1"/>
  <c r="P21" i="10"/>
  <c r="Q21" i="10" s="1"/>
  <c r="Q23" i="10" s="1"/>
  <c r="O21" i="10"/>
  <c r="O23" i="10" s="1"/>
  <c r="AI20" i="10"/>
  <c r="AI19" i="10"/>
  <c r="AD19" i="10"/>
  <c r="V19" i="10"/>
  <c r="Q19" i="10"/>
  <c r="L19" i="10"/>
  <c r="H19" i="10"/>
  <c r="AI17" i="10"/>
  <c r="AI16" i="10"/>
  <c r="AD16" i="10"/>
  <c r="V16" i="10"/>
  <c r="Q16" i="10"/>
  <c r="L16" i="10"/>
  <c r="H16" i="10"/>
  <c r="AI15" i="10"/>
  <c r="AI14" i="10"/>
  <c r="AD14" i="10"/>
  <c r="V14" i="10"/>
  <c r="Q14" i="10"/>
  <c r="L14" i="10"/>
  <c r="H14" i="10"/>
  <c r="AI13" i="10"/>
  <c r="AI12" i="10"/>
  <c r="AD12" i="10"/>
  <c r="V12" i="10"/>
  <c r="Q12" i="10"/>
  <c r="L12" i="10"/>
  <c r="H12" i="10"/>
  <c r="AI11" i="10"/>
  <c r="AI10" i="10"/>
  <c r="AD10" i="10"/>
  <c r="V10" i="10"/>
  <c r="Q10" i="10"/>
  <c r="L10" i="10"/>
  <c r="H10" i="10"/>
  <c r="AI9" i="10"/>
  <c r="AI8" i="10"/>
  <c r="AD8" i="10"/>
  <c r="AD21" i="10" s="1"/>
  <c r="AD23" i="10" s="1"/>
  <c r="AA8" i="10"/>
  <c r="V8" i="10"/>
  <c r="Q8" i="10"/>
  <c r="L8" i="10"/>
  <c r="H8" i="10"/>
  <c r="T30" i="9"/>
  <c r="T28" i="9"/>
  <c r="P28" i="9"/>
  <c r="Q28" i="9" s="1"/>
  <c r="O28" i="9"/>
  <c r="O30" i="9" s="1"/>
  <c r="AI27" i="9"/>
  <c r="AD27" i="9"/>
  <c r="Z27" i="9"/>
  <c r="AA27" i="9" s="1"/>
  <c r="Y27" i="9"/>
  <c r="V27" i="9"/>
  <c r="X27" i="9" s="1"/>
  <c r="S27" i="9"/>
  <c r="Q27" i="9"/>
  <c r="R27" i="9" s="1"/>
  <c r="N27" i="9"/>
  <c r="M27" i="9"/>
  <c r="L27" i="9"/>
  <c r="H27" i="9"/>
  <c r="I27" i="9" s="1"/>
  <c r="AD26" i="9"/>
  <c r="AA26" i="9"/>
  <c r="AB26" i="9" s="1"/>
  <c r="Z26" i="9"/>
  <c r="Y26" i="9"/>
  <c r="X26" i="9"/>
  <c r="W26" i="9"/>
  <c r="V26" i="9"/>
  <c r="Q26" i="9"/>
  <c r="R26" i="9" s="1"/>
  <c r="L26" i="9"/>
  <c r="N26" i="9" s="1"/>
  <c r="J26" i="9"/>
  <c r="H26" i="9"/>
  <c r="I26" i="9" s="1"/>
  <c r="AI25" i="9"/>
  <c r="AD25" i="9"/>
  <c r="Z25" i="9"/>
  <c r="AA25" i="9" s="1"/>
  <c r="Y25" i="9"/>
  <c r="V25" i="9"/>
  <c r="W25" i="9" s="1"/>
  <c r="Q25" i="9"/>
  <c r="S25" i="9" s="1"/>
  <c r="N25" i="9"/>
  <c r="L25" i="9"/>
  <c r="M25" i="9" s="1"/>
  <c r="J25" i="9"/>
  <c r="I25" i="9"/>
  <c r="H25" i="9"/>
  <c r="AD24" i="9"/>
  <c r="Z24" i="9"/>
  <c r="AA24" i="9" s="1"/>
  <c r="Y24" i="9"/>
  <c r="X24" i="9"/>
  <c r="V24" i="9"/>
  <c r="W24" i="9" s="1"/>
  <c r="S24" i="9"/>
  <c r="R24" i="9"/>
  <c r="Q24" i="9"/>
  <c r="L24" i="9"/>
  <c r="M24" i="9" s="1"/>
  <c r="H24" i="9"/>
  <c r="J24" i="9" s="1"/>
  <c r="AD23" i="9"/>
  <c r="Z23" i="9"/>
  <c r="AA23" i="9" s="1"/>
  <c r="Y23" i="9"/>
  <c r="V23" i="9"/>
  <c r="W23" i="9" s="1"/>
  <c r="Q23" i="9"/>
  <c r="S23" i="9" s="1"/>
  <c r="N23" i="9"/>
  <c r="M23" i="9"/>
  <c r="L23" i="9"/>
  <c r="J23" i="9"/>
  <c r="I23" i="9"/>
  <c r="H23" i="9"/>
  <c r="AD22" i="9"/>
  <c r="Z22" i="9"/>
  <c r="Y22" i="9"/>
  <c r="AA22" i="9" s="1"/>
  <c r="X22" i="9"/>
  <c r="W22" i="9"/>
  <c r="V22" i="9"/>
  <c r="S22" i="9"/>
  <c r="R22" i="9"/>
  <c r="Q22" i="9"/>
  <c r="L22" i="9"/>
  <c r="M22" i="9" s="1"/>
  <c r="H22" i="9"/>
  <c r="J22" i="9" s="1"/>
  <c r="AI21" i="9"/>
  <c r="AD21" i="9"/>
  <c r="AA21" i="9"/>
  <c r="AB21" i="9" s="1"/>
  <c r="Z21" i="9"/>
  <c r="Y21" i="9"/>
  <c r="X21" i="9"/>
  <c r="W21" i="9"/>
  <c r="V21" i="9"/>
  <c r="Q21" i="9"/>
  <c r="R21" i="9" s="1"/>
  <c r="L21" i="9"/>
  <c r="N21" i="9" s="1"/>
  <c r="J21" i="9"/>
  <c r="H21" i="9"/>
  <c r="AI20" i="9"/>
  <c r="AD20" i="9"/>
  <c r="Z20" i="9"/>
  <c r="AA20" i="9" s="1"/>
  <c r="Y20" i="9"/>
  <c r="V20" i="9"/>
  <c r="Q20" i="9"/>
  <c r="L20" i="9"/>
  <c r="H20" i="9"/>
  <c r="AI19" i="9"/>
  <c r="AD19" i="9"/>
  <c r="Z19" i="9"/>
  <c r="Y19" i="9"/>
  <c r="AA19" i="9" s="1"/>
  <c r="V19" i="9"/>
  <c r="Q19" i="9"/>
  <c r="L19" i="9"/>
  <c r="H19" i="9"/>
  <c r="AC18" i="9"/>
  <c r="AB18" i="9"/>
  <c r="V18" i="9"/>
  <c r="W18" i="9" s="1"/>
  <c r="U18" i="9"/>
  <c r="U28" i="9" s="1"/>
  <c r="S18" i="9"/>
  <c r="N18" i="9"/>
  <c r="M18" i="9"/>
  <c r="L18" i="9"/>
  <c r="H18" i="9"/>
  <c r="J18" i="9" s="1"/>
  <c r="AI17" i="9"/>
  <c r="Z17" i="9"/>
  <c r="AA17" i="9" s="1"/>
  <c r="Y17" i="9"/>
  <c r="V17" i="9"/>
  <c r="Q17" i="9"/>
  <c r="L17" i="9"/>
  <c r="H17" i="9"/>
  <c r="AI16" i="9"/>
  <c r="AD16" i="9"/>
  <c r="Z16" i="9"/>
  <c r="AA16" i="9" s="1"/>
  <c r="Y16" i="9"/>
  <c r="V16" i="9"/>
  <c r="Q16" i="9"/>
  <c r="L16" i="9"/>
  <c r="H16" i="9"/>
  <c r="AI15" i="9"/>
  <c r="AD15" i="9"/>
  <c r="Z15" i="9"/>
  <c r="AA15" i="9" s="1"/>
  <c r="Y15" i="9"/>
  <c r="V15" i="9"/>
  <c r="Q15" i="9"/>
  <c r="L15" i="9"/>
  <c r="H15" i="9"/>
  <c r="AI14" i="9"/>
  <c r="AD14" i="9"/>
  <c r="Z14" i="9"/>
  <c r="AA14" i="9" s="1"/>
  <c r="Y14" i="9"/>
  <c r="V14" i="9"/>
  <c r="Q14" i="9"/>
  <c r="L14" i="9"/>
  <c r="H14" i="9"/>
  <c r="AI13" i="9"/>
  <c r="AD13" i="9"/>
  <c r="Z13" i="9"/>
  <c r="AA13" i="9" s="1"/>
  <c r="Y13" i="9"/>
  <c r="V13" i="9"/>
  <c r="Q13" i="9"/>
  <c r="L13" i="9"/>
  <c r="H13" i="9"/>
  <c r="AI12" i="9"/>
  <c r="AD12" i="9"/>
  <c r="AA12" i="9"/>
  <c r="AB12" i="9" s="1"/>
  <c r="Z12" i="9"/>
  <c r="Y12" i="9"/>
  <c r="V12" i="9"/>
  <c r="Q12" i="9"/>
  <c r="L12" i="9"/>
  <c r="H12" i="9"/>
  <c r="AI11" i="9"/>
  <c r="AD11" i="9"/>
  <c r="Z11" i="9"/>
  <c r="AA11" i="9" s="1"/>
  <c r="Y11" i="9"/>
  <c r="V11" i="9"/>
  <c r="Q11" i="9"/>
  <c r="L11" i="9"/>
  <c r="H11" i="9"/>
  <c r="AI10" i="9"/>
  <c r="Z10" i="9"/>
  <c r="AA10" i="9" s="1"/>
  <c r="Y10" i="9"/>
  <c r="V10" i="9"/>
  <c r="Q10" i="9"/>
  <c r="L10" i="9"/>
  <c r="H10" i="9"/>
  <c r="AI9" i="9"/>
  <c r="AD9" i="9"/>
  <c r="AA9" i="9"/>
  <c r="V9" i="9"/>
  <c r="Q9" i="9"/>
  <c r="L9" i="9"/>
  <c r="H9" i="9"/>
  <c r="AI8" i="9"/>
  <c r="AD8" i="9"/>
  <c r="AD28" i="9" s="1"/>
  <c r="AD30" i="9" s="1"/>
  <c r="AA8" i="9"/>
  <c r="V8" i="9"/>
  <c r="Q8" i="9"/>
  <c r="L8" i="9"/>
  <c r="H8" i="9"/>
  <c r="Q79" i="8"/>
  <c r="AD78" i="8"/>
  <c r="V78" i="8"/>
  <c r="Q78" i="8"/>
  <c r="AD77" i="8"/>
  <c r="V77" i="8"/>
  <c r="U77" i="8"/>
  <c r="U79" i="8" s="1"/>
  <c r="Q77" i="8"/>
  <c r="AD76" i="8"/>
  <c r="V76" i="8"/>
  <c r="Q76" i="8"/>
  <c r="K76" i="8"/>
  <c r="G76" i="8"/>
  <c r="H76" i="8" s="1"/>
  <c r="F76" i="8"/>
  <c r="Y76" i="8" s="1"/>
  <c r="AD75" i="8"/>
  <c r="Z75" i="8"/>
  <c r="AA75" i="8" s="1"/>
  <c r="Y75" i="8"/>
  <c r="V75" i="8"/>
  <c r="Q75" i="8"/>
  <c r="L75" i="8"/>
  <c r="H75" i="8"/>
  <c r="AD74" i="8"/>
  <c r="Z74" i="8"/>
  <c r="V74" i="8"/>
  <c r="Q74" i="8"/>
  <c r="G74" i="8"/>
  <c r="H74" i="8" s="1"/>
  <c r="F74" i="8"/>
  <c r="Y74" i="8" s="1"/>
  <c r="V73" i="8"/>
  <c r="Q73" i="8"/>
  <c r="AD72" i="8"/>
  <c r="Y72" i="8"/>
  <c r="V72" i="8"/>
  <c r="Q72" i="8"/>
  <c r="K72" i="8"/>
  <c r="K74" i="8" s="1"/>
  <c r="L74" i="8" s="1"/>
  <c r="H72" i="8"/>
  <c r="G72" i="8"/>
  <c r="Z72" i="8" s="1"/>
  <c r="AA72" i="8" s="1"/>
  <c r="F72" i="8"/>
  <c r="AD71" i="8"/>
  <c r="V71" i="8"/>
  <c r="Q71" i="8"/>
  <c r="AD70" i="8"/>
  <c r="Z70" i="8"/>
  <c r="AA70" i="8" s="1"/>
  <c r="Y70" i="8"/>
  <c r="V70" i="8"/>
  <c r="Q70" i="8"/>
  <c r="L70" i="8"/>
  <c r="H70" i="8"/>
  <c r="AI69" i="8"/>
  <c r="AD69" i="8"/>
  <c r="AA69" i="8"/>
  <c r="Z69" i="8"/>
  <c r="Y69" i="8"/>
  <c r="V69" i="8"/>
  <c r="Q69" i="8"/>
  <c r="L69" i="8"/>
  <c r="H69" i="8"/>
  <c r="V68" i="8"/>
  <c r="Q68" i="8"/>
  <c r="G68" i="8"/>
  <c r="D68" i="8"/>
  <c r="AD67" i="8"/>
  <c r="AD68" i="8" s="1"/>
  <c r="AD73" i="8" s="1"/>
  <c r="V67" i="8"/>
  <c r="Q67" i="8"/>
  <c r="AD66" i="8"/>
  <c r="Z66" i="8"/>
  <c r="V66" i="8"/>
  <c r="Q66" i="8"/>
  <c r="L66" i="8"/>
  <c r="K66" i="8"/>
  <c r="K68" i="8" s="1"/>
  <c r="L68" i="8" s="1"/>
  <c r="G66" i="8"/>
  <c r="H66" i="8" s="1"/>
  <c r="F66" i="8"/>
  <c r="F68" i="8" s="1"/>
  <c r="Y68" i="8" s="1"/>
  <c r="V65" i="8"/>
  <c r="Q65" i="8"/>
  <c r="AD64" i="8"/>
  <c r="AA64" i="8"/>
  <c r="Z64" i="8"/>
  <c r="Y64" i="8"/>
  <c r="V64" i="8"/>
  <c r="Q64" i="8"/>
  <c r="L64" i="8"/>
  <c r="H64" i="8"/>
  <c r="V63" i="8"/>
  <c r="Q63" i="8"/>
  <c r="AI62" i="8"/>
  <c r="AD62" i="8"/>
  <c r="Z62" i="8"/>
  <c r="AA62" i="8" s="1"/>
  <c r="Y62" i="8"/>
  <c r="V62" i="8"/>
  <c r="Q62" i="8"/>
  <c r="L62" i="8"/>
  <c r="H62" i="8"/>
  <c r="V59" i="8"/>
  <c r="AD58" i="8"/>
  <c r="AA58" i="8"/>
  <c r="Z58" i="8"/>
  <c r="Y58" i="8"/>
  <c r="V58" i="8"/>
  <c r="Q58" i="8"/>
  <c r="L58" i="8"/>
  <c r="H58" i="8"/>
  <c r="AD57" i="8"/>
  <c r="AA57" i="8"/>
  <c r="Z57" i="8"/>
  <c r="Y57" i="8"/>
  <c r="V57" i="8"/>
  <c r="Q57" i="8"/>
  <c r="L57" i="8"/>
  <c r="H57" i="8"/>
  <c r="AI56" i="8"/>
  <c r="AD56" i="8"/>
  <c r="Z56" i="8"/>
  <c r="Y56" i="8"/>
  <c r="AA56" i="8" s="1"/>
  <c r="V56" i="8"/>
  <c r="Q56" i="8"/>
  <c r="L56" i="8"/>
  <c r="H56" i="8"/>
  <c r="Q55" i="8"/>
  <c r="V54" i="8"/>
  <c r="Q54" i="8"/>
  <c r="AI53" i="8"/>
  <c r="AD53" i="8"/>
  <c r="Z53" i="8"/>
  <c r="Y53" i="8"/>
  <c r="AA53" i="8" s="1"/>
  <c r="V53" i="8"/>
  <c r="Q53" i="8"/>
  <c r="L53" i="8"/>
  <c r="H53" i="8"/>
  <c r="V50" i="8"/>
  <c r="AD49" i="8"/>
  <c r="Z49" i="8"/>
  <c r="AA49" i="8" s="1"/>
  <c r="Y49" i="8"/>
  <c r="V49" i="8"/>
  <c r="Q49" i="8"/>
  <c r="L49" i="8"/>
  <c r="H49" i="8"/>
  <c r="AD48" i="8"/>
  <c r="Z48" i="8"/>
  <c r="AA48" i="8" s="1"/>
  <c r="Y48" i="8"/>
  <c r="V48" i="8"/>
  <c r="Q48" i="8"/>
  <c r="L48" i="8"/>
  <c r="H48" i="8"/>
  <c r="AI47" i="8"/>
  <c r="AD47" i="8"/>
  <c r="Z47" i="8"/>
  <c r="AA47" i="8" s="1"/>
  <c r="Y47" i="8"/>
  <c r="V47" i="8"/>
  <c r="Q47" i="8"/>
  <c r="L47" i="8"/>
  <c r="H47" i="8"/>
  <c r="V46" i="8"/>
  <c r="Q46" i="8"/>
  <c r="V45" i="8"/>
  <c r="Q45" i="8"/>
  <c r="AI44" i="8"/>
  <c r="AD44" i="8"/>
  <c r="AA44" i="8"/>
  <c r="Z44" i="8"/>
  <c r="Y44" i="8"/>
  <c r="V44" i="8"/>
  <c r="Q44" i="8"/>
  <c r="L44" i="8"/>
  <c r="H44" i="8"/>
  <c r="AD43" i="8"/>
  <c r="V43" i="8"/>
  <c r="Q43" i="8"/>
  <c r="Z42" i="8"/>
  <c r="AA42" i="8" s="1"/>
  <c r="Y42" i="8"/>
  <c r="V42" i="8"/>
  <c r="Q42" i="8"/>
  <c r="K42" i="8"/>
  <c r="L42" i="8" s="1"/>
  <c r="H42" i="8"/>
  <c r="V41" i="8"/>
  <c r="D41" i="8"/>
  <c r="V40" i="8"/>
  <c r="Q40" i="8"/>
  <c r="AD39" i="8"/>
  <c r="V39" i="8"/>
  <c r="Q39" i="8"/>
  <c r="Z38" i="8"/>
  <c r="AA38" i="8" s="1"/>
  <c r="Y38" i="8"/>
  <c r="V38" i="8"/>
  <c r="Q38" i="8"/>
  <c r="K38" i="8"/>
  <c r="L38" i="8" s="1"/>
  <c r="H38" i="8"/>
  <c r="V37" i="8"/>
  <c r="V36" i="8"/>
  <c r="AI35" i="8"/>
  <c r="AA35" i="8"/>
  <c r="Z35" i="8"/>
  <c r="Y35" i="8"/>
  <c r="V35" i="8"/>
  <c r="Q35" i="8"/>
  <c r="K35" i="8"/>
  <c r="L35" i="8" s="1"/>
  <c r="H35" i="8"/>
  <c r="V34" i="8"/>
  <c r="D34" i="8"/>
  <c r="V33" i="8"/>
  <c r="Q33" i="8"/>
  <c r="AI32" i="8"/>
  <c r="V32" i="8"/>
  <c r="Q32" i="8"/>
  <c r="AI31" i="8"/>
  <c r="AA31" i="8"/>
  <c r="Z31" i="8"/>
  <c r="Y31" i="8"/>
  <c r="V31" i="8"/>
  <c r="Q31" i="8"/>
  <c r="K31" i="8"/>
  <c r="L31" i="8" s="1"/>
  <c r="H31" i="8"/>
  <c r="AI30" i="8"/>
  <c r="Z30" i="8"/>
  <c r="AA30" i="8" s="1"/>
  <c r="Y30" i="8"/>
  <c r="V30" i="8"/>
  <c r="Q30" i="8"/>
  <c r="K30" i="8"/>
  <c r="L30" i="8" s="1"/>
  <c r="H30" i="8"/>
  <c r="AI29" i="8"/>
  <c r="Z29" i="8"/>
  <c r="AA29" i="8" s="1"/>
  <c r="Y29" i="8"/>
  <c r="V29" i="8"/>
  <c r="Q29" i="8"/>
  <c r="L29" i="8"/>
  <c r="H29" i="8"/>
  <c r="V28" i="8"/>
  <c r="AI27" i="8"/>
  <c r="AD27" i="8"/>
  <c r="AA27" i="8"/>
  <c r="Z27" i="8"/>
  <c r="Y27" i="8"/>
  <c r="V27" i="8"/>
  <c r="Q27" i="8"/>
  <c r="K27" i="8"/>
  <c r="L27" i="8" s="1"/>
  <c r="H27" i="8"/>
  <c r="V26" i="8"/>
  <c r="V25" i="8"/>
  <c r="AI24" i="8"/>
  <c r="AD24" i="8"/>
  <c r="AA24" i="8"/>
  <c r="Z24" i="8"/>
  <c r="Y24" i="8"/>
  <c r="V24" i="8"/>
  <c r="Q24" i="8"/>
  <c r="K24" i="8"/>
  <c r="L24" i="8" s="1"/>
  <c r="H24" i="8"/>
  <c r="V23" i="8"/>
  <c r="AI21" i="8"/>
  <c r="Z21" i="8"/>
  <c r="Y21" i="8"/>
  <c r="AA21" i="8" s="1"/>
  <c r="V21" i="8"/>
  <c r="Q21" i="8"/>
  <c r="K21" i="8"/>
  <c r="L21" i="8" s="1"/>
  <c r="H21" i="8"/>
  <c r="V20" i="8"/>
  <c r="V19" i="8"/>
  <c r="Q19" i="8"/>
  <c r="AI18" i="8"/>
  <c r="Z18" i="8"/>
  <c r="Y18" i="8"/>
  <c r="AA18" i="8" s="1"/>
  <c r="V18" i="8"/>
  <c r="Q18" i="8"/>
  <c r="K18" i="8"/>
  <c r="L18" i="8" s="1"/>
  <c r="H18" i="8"/>
  <c r="V17" i="8"/>
  <c r="V16" i="8"/>
  <c r="AC15" i="8"/>
  <c r="AB15" i="8"/>
  <c r="V15" i="8"/>
  <c r="S15" i="8"/>
  <c r="R15" i="8"/>
  <c r="Q15" i="8"/>
  <c r="K15" i="8"/>
  <c r="G15" i="8"/>
  <c r="H15" i="8" s="1"/>
  <c r="F15" i="8"/>
  <c r="Z14" i="8"/>
  <c r="AA14" i="8" s="1"/>
  <c r="Y14" i="8"/>
  <c r="V14" i="8"/>
  <c r="Q14" i="8"/>
  <c r="L14" i="8"/>
  <c r="H14" i="8"/>
  <c r="AA13" i="8"/>
  <c r="Z13" i="8"/>
  <c r="Y13" i="8"/>
  <c r="V13" i="8"/>
  <c r="Q13" i="8"/>
  <c r="L13" i="8"/>
  <c r="H13" i="8"/>
  <c r="AA12" i="8"/>
  <c r="Z12" i="8"/>
  <c r="Y12" i="8"/>
  <c r="V12" i="8"/>
  <c r="Q12" i="8"/>
  <c r="L12" i="8"/>
  <c r="H12" i="8"/>
  <c r="Z11" i="8"/>
  <c r="AA11" i="8" s="1"/>
  <c r="Y11" i="8"/>
  <c r="V11" i="8"/>
  <c r="Q11" i="8"/>
  <c r="L11" i="8"/>
  <c r="H11" i="8"/>
  <c r="Z10" i="8"/>
  <c r="Y10" i="8"/>
  <c r="AA10" i="8" s="1"/>
  <c r="V10" i="8"/>
  <c r="Q10" i="8"/>
  <c r="L10" i="8"/>
  <c r="H10" i="8"/>
  <c r="AA9" i="8"/>
  <c r="Z9" i="8"/>
  <c r="Y9" i="8"/>
  <c r="V9" i="8"/>
  <c r="Q9" i="8"/>
  <c r="L9" i="8"/>
  <c r="H9" i="8"/>
  <c r="AI8" i="8"/>
  <c r="Z15" i="8"/>
  <c r="Y15" i="8"/>
  <c r="V8" i="8"/>
  <c r="Q8" i="8"/>
  <c r="L8" i="8"/>
  <c r="H8" i="8"/>
  <c r="V9" i="1"/>
  <c r="Q9" i="1"/>
  <c r="AI8" i="1"/>
  <c r="L8" i="1"/>
  <c r="H8" i="1"/>
  <c r="AA8" i="1" l="1"/>
  <c r="V10" i="1"/>
  <c r="AC13" i="9"/>
  <c r="AB13" i="9"/>
  <c r="AC14" i="9"/>
  <c r="AB14" i="9"/>
  <c r="AC20" i="9"/>
  <c r="AB20" i="9"/>
  <c r="AA15" i="8"/>
  <c r="AC24" i="9"/>
  <c r="AB24" i="9"/>
  <c r="AC27" i="9"/>
  <c r="AB27" i="9"/>
  <c r="H68" i="8"/>
  <c r="AA74" i="8"/>
  <c r="AD79" i="8"/>
  <c r="V79" i="8"/>
  <c r="AC11" i="9"/>
  <c r="AB11" i="9"/>
  <c r="V28" i="9"/>
  <c r="V30" i="9" s="1"/>
  <c r="U30" i="9"/>
  <c r="AC19" i="9"/>
  <c r="AB19" i="9"/>
  <c r="AC22" i="9"/>
  <c r="AB22" i="9"/>
  <c r="AC23" i="9"/>
  <c r="AB23" i="9"/>
  <c r="AC25" i="9"/>
  <c r="AB25" i="9"/>
  <c r="L72" i="8"/>
  <c r="AC12" i="9"/>
  <c r="X18" i="9"/>
  <c r="M21" i="9"/>
  <c r="S21" i="9"/>
  <c r="AC21" i="9"/>
  <c r="I22" i="9"/>
  <c r="N22" i="9"/>
  <c r="R23" i="9"/>
  <c r="X23" i="9"/>
  <c r="I24" i="9"/>
  <c r="N24" i="9"/>
  <c r="R25" i="9"/>
  <c r="X25" i="9"/>
  <c r="M26" i="9"/>
  <c r="S26" i="9"/>
  <c r="AC26" i="9"/>
  <c r="J27" i="9"/>
  <c r="W27" i="9"/>
  <c r="L15" i="8"/>
  <c r="Y66" i="8"/>
  <c r="AA66" i="8" s="1"/>
  <c r="Z68" i="8"/>
  <c r="AA68" i="8" s="1"/>
  <c r="L76" i="8"/>
  <c r="Z76" i="8"/>
  <c r="AA76" i="8" s="1"/>
  <c r="P30" i="9"/>
  <c r="Q30" i="9" s="1"/>
  <c r="U23" i="10"/>
</calcChain>
</file>

<file path=xl/sharedStrings.xml><?xml version="1.0" encoding="utf-8"?>
<sst xmlns="http://schemas.openxmlformats.org/spreadsheetml/2006/main" count="1290" uniqueCount="310">
  <si>
    <t>Информация о выполнении муниципальных заданий за 2020 год по Администрации городского округа город Салават Республики Башкортостан</t>
  </si>
  <si>
    <t xml:space="preserve">
Код бюджетного ассигнования</t>
  </si>
  <si>
    <t>Наименование услуги (работы)
(код бюджетного ассигнования)</t>
  </si>
  <si>
    <t>Основа предоставления (бесплатная, частично платная, платная)</t>
  </si>
  <si>
    <t>Кол-во учреж-дений</t>
  </si>
  <si>
    <t>Плановые и фактические показатели</t>
  </si>
  <si>
    <t>Нормативные затраты на оказание государственной услуги 
(выполнение работы) или цены (тарифы), руб.</t>
  </si>
  <si>
    <t xml:space="preserve">Остаток средств субсидии
 на выполнение МЗ, тыс. руб. </t>
  </si>
  <si>
    <t>Сводная оценка качества оказания муниц.услуги</t>
  </si>
  <si>
    <t>Целевой индикатор (показатель), закрепленный за ГРБС, для достижения которого оказывается государственная услуга (выполняется работа)</t>
  </si>
  <si>
    <t>Натуральные показатели</t>
  </si>
  <si>
    <t>Стоимостные показатели, тыс. руб.</t>
  </si>
  <si>
    <t>Утвержденное значение
на начало года</t>
  </si>
  <si>
    <t>Уточненное значение
(последняя уточненная редакция)</t>
  </si>
  <si>
    <t>Отклонение уточненного значения 
от утвержденного, %
((26-25)/25 *100)</t>
  </si>
  <si>
    <t xml:space="preserve">Количество учреждений 
с отклонением уточненного значения 
от первоначально утвержденного значения  </t>
  </si>
  <si>
    <t>Ед. измерения</t>
  </si>
  <si>
    <t>Утвержденное значение в МЗ
на начало года</t>
  </si>
  <si>
    <t>Уточненное значение в МЗ
(последняя уточненная редакция)</t>
  </si>
  <si>
    <t>Отклонение уточненного значения 
от утвержденного, %
((7-6)/6*100)</t>
  </si>
  <si>
    <t>Количество учреждений 
с отклонением уточненного значения 
от первоначально утвержденного значения</t>
  </si>
  <si>
    <t>Фактическое 
значение</t>
  </si>
  <si>
    <t>Выполнение планового значения, % 
(11/7*100)</t>
  </si>
  <si>
    <t>Количество учреждений 
с выполнением планового значения</t>
  </si>
  <si>
    <t>Утвержденное значение субсидии на выполнение МЗ 
на начало года</t>
  </si>
  <si>
    <t>Уточненное значение субсидии на выполнение МЗ 
(последняя уточненная редакция)</t>
  </si>
  <si>
    <t>Отклонение уточненного значения 
от утвержденного, %
((16-15)/15 *100)</t>
  </si>
  <si>
    <t xml:space="preserve">Количество учреждений 
с отклонением уточненного значения 
от первоначально утвержденного значения  
</t>
  </si>
  <si>
    <t>Кассовый расход субсидии на выполнение МЗ учрежде-нием(ями)</t>
  </si>
  <si>
    <t>Выполнение планового значения, %
(21/16*100)</t>
  </si>
  <si>
    <t>на 10% и более 
в сторону увеличения</t>
  </si>
  <si>
    <t>на 10% и более
в сторону уменьшения</t>
  </si>
  <si>
    <t xml:space="preserve">110% и более </t>
  </si>
  <si>
    <t>90% и менее</t>
  </si>
  <si>
    <t>на 10% и более в сторону увеличения</t>
  </si>
  <si>
    <t>наименование показателя</t>
  </si>
  <si>
    <t>плановое значение на 2020 год</t>
  </si>
  <si>
    <t>фактическое значение по итогам 2020 года</t>
  </si>
  <si>
    <t xml:space="preserve">Выполнение планового значения, % (34/33*100) </t>
  </si>
  <si>
    <t xml:space="preserve">  </t>
  </si>
  <si>
    <t>Производство и распространение телепрограмм</t>
  </si>
  <si>
    <t>бесплатная</t>
  </si>
  <si>
    <t>час</t>
  </si>
  <si>
    <t>Итого БЮДЖЕТ</t>
  </si>
  <si>
    <t>Итого ВНЕБЮДЖЕТ</t>
  </si>
  <si>
    <t>ВСЕГО</t>
  </si>
  <si>
    <t>Информация о выполнении муниципальных заданий за 2020 год по Управлению по делам гражданской обороны и чрезвычайным ситуациям Администрации городского округа город Салават Республики Башкортостан</t>
  </si>
  <si>
    <t>Информация о выполнении муниципальных заданий за 2020 год по Управлению городского хозяйства Администрации городского округа город Салават Республики Башкортостан</t>
  </si>
  <si>
    <t>Информация о выполнении муниципальных заданий за 2020 год по Отделу культуры Администрации городского округа город Салават Республики Башкортостан</t>
  </si>
  <si>
    <t>Информация о выполнении муниципальных заданий за 2020 год по Управлению физической культуры и спорта Администрации городского округа город Салават Республики Башкортостан</t>
  </si>
  <si>
    <t>Информация о выполнении муниципальных заданий за 2020 год по Комитету по делам молодежи Администрации городского округа город Салават Республики Башкортостан</t>
  </si>
  <si>
    <t>Информация о выполнении муниципальных заданий за 2020 год по Управлению образования Администрации городского округа город Салават Республики Башкортостан</t>
  </si>
  <si>
    <t>Информация о выполнении государственных заданий за 2019 год по Министерству культуры Республики Башкортостан</t>
  </si>
  <si>
    <t>Количество учреждений</t>
  </si>
  <si>
    <t xml:space="preserve">Остаток средств субсидии
 на выполнение ГЗ, тыс. руб. </t>
  </si>
  <si>
    <t>Сводная оценка качества оказания госуслуги</t>
  </si>
  <si>
    <t>Утвержденное значение в ГЗ
на начало года</t>
  </si>
  <si>
    <t>Уточненное значение в ГЗ
(последняя уточненная редакция)</t>
  </si>
  <si>
    <t>Утвержденное значение субсидии на выполнение ГЗ 
на начало года</t>
  </si>
  <si>
    <t>Уточненное значение субсидии на выполнение ГЗ 
(последняя уточненная редакция)</t>
  </si>
  <si>
    <t xml:space="preserve">Фактический объем субсидии на выполнение ГЗ, доведенный до учреждения(ий)  </t>
  </si>
  <si>
    <t>Кассовый расход субсидии на выполнение ГЗ учрежде-нием(ями)</t>
  </si>
  <si>
    <t>плановое значение на 2019 год</t>
  </si>
  <si>
    <t>фактическое значение по итогам 2019 года</t>
  </si>
  <si>
    <t xml:space="preserve">Реализация основных профессиональных образовательных программ среднего профессионального образования в области искусств, интегрированные с образовательными программами среднего общего образования, по укрупненной группе направлений подготовки и специальностей (профессий) "51.00.00 КУЛЬТУРОВЕДЕНИЕ И СОЦИОКУЛЬТУРНЫЕ ПРОЕКТЫ" </t>
  </si>
  <si>
    <t>Численность обучающихся, чел.</t>
  </si>
  <si>
    <t>Доля выпускников, завершивших обучение 
по образовательным программам среднего профессионального образования, получивших направление 
на работу, и выпускников, продолживших обучение на следующем уровне по очной форме обучения, в общем количестве выпускников средних профессиональных организаций в области культуры, %</t>
  </si>
  <si>
    <t>Реализация основных профессиональных образовательных программ среднего профессионального образования в области искусств, интегрированные с образовательными программами среднего общего образования, по укрупненной группе направлений подготовки и специальностей (профессий) "52.00.00 СЦЕНИЧЕСКИЕ ИСКУССТВА И ЛИТЕРАТУРНОЕ ТВОРЧЕСТВО"</t>
  </si>
  <si>
    <t xml:space="preserve">Реализация основных профессиональных образовательных программ среднего профессионального образования в области искусств, интегрированные с образовательными программами среднего общего образования, по укрупненной группе направлений подготовки и специальностей (профессий) "53.00.00 МУЗЫКАЛЬНОЕ ИСКУССТВО" </t>
  </si>
  <si>
    <t xml:space="preserve">Реализация основных профессиональных образовательных программ среднего профессионального образования в области искусств, интегрированные с образовательными программами среднего общего образования, по укрупненной группе направлений подготовки и специальностей (профессий) "54.00.00 ИЗОБРАЗИТЕЛЬНОЕ И ПРИКЛАДНЫЕ ВИДЫ ИСКУССТВ" </t>
  </si>
  <si>
    <t xml:space="preserve">Реализация основных профессиональных образовательных программ среднего профессионального образования в области искусств, интегрированные с образовательными программами среднего общего образования, по укрупненной группе направлений подготовки и специальностей (профессий) "44.00.00 ОБРАЗОВАНИЕ И ПЕДАГОГИЧЕСКИЕ НАУКИ" </t>
  </si>
  <si>
    <t xml:space="preserve">Реализация основных общеобразовательных программ начального общего образования </t>
  </si>
  <si>
    <t xml:space="preserve">Реализация дополнительных предпрофессиональных программ в области искусств </t>
  </si>
  <si>
    <t>Реализация основных профессиональных образовательных программ среднего профессионального образования 
БЮДЖЕТ</t>
  </si>
  <si>
    <t>Реализация основных профессиональных образовательных программ среднего профессионального образования 
ВНЕБЮДЖЕТ</t>
  </si>
  <si>
    <t>ВСЕГО по БА 2407.000 Реализация основных профессиональных образовательных программ среднего профессионального образования</t>
  </si>
  <si>
    <t>Х</t>
  </si>
  <si>
    <t>X</t>
  </si>
  <si>
    <t>Реализация дополнительных профессиональных программ повышения квалификации
 БЮДЖЕТ</t>
  </si>
  <si>
    <t>Количество человеко-часов, человеко-час</t>
  </si>
  <si>
    <t>Доля работников государственных (муниципальных) учреждений культуры, прошедших профессиональную переподготовку и повышение квалификации, в общем числе работников отрасли, %</t>
  </si>
  <si>
    <t>Реализация дополнительных профессиональных программ повышения квалификации
 ВНЕБЮДЖЕТ</t>
  </si>
  <si>
    <t>ВСЕГО по БА 2409.000 Реализация дополнительных профессиональных программ повышения квалификации</t>
  </si>
  <si>
    <t>Организация методических и творческих мероприятий (семинары, конференции, фестивали, конкурсы, смотры)
БЮДЖЕТ</t>
  </si>
  <si>
    <t>Количество проведенных мероприятий, ед.</t>
  </si>
  <si>
    <t>Количество стипендиатов среди одаренных детей и талантливой молодежи, чел.</t>
  </si>
  <si>
    <t>Организация методических и творческих мероприятий (семинары, конференции, фестивали, конкурсы, смотры)
(3509.000) ВНЕБЮДЖЕТ</t>
  </si>
  <si>
    <t>ВСЕГО по БА 3509.000 Организация методических и творческих мероприятий (семинары, конференции, фестивали, конкурсы, смотры)</t>
  </si>
  <si>
    <t>Организация мероприятия в сфере национальных культур и межнационального сотрудничества
БЮДЖЕТ</t>
  </si>
  <si>
    <t xml:space="preserve">Прирост количества мероприятий, направленных на этнокультурное развитие народов Республики Башкортостан и поддержку языкового многообразия в республике, % 
</t>
  </si>
  <si>
    <t>Организация мероприятия в сфере национальных культур и межнационального сотрудничества
ВНЕБЮДЖЕТ</t>
  </si>
  <si>
    <t>ВСЕГО по БА 3511.000 Организация мероприятия в сфере национальных культур и межнационального сотрудничества</t>
  </si>
  <si>
    <t xml:space="preserve">Проведение литературно-фольклорных праздников,  конкурсов, программ, направленных на всестороннее развитие русского языка, популяризацию творчества русских писателей
</t>
  </si>
  <si>
    <t>Количество участников литературно-фольклорных праздников, конкурсов, программ, направленных на всестороннее развитие русского языка, популяризацию творчества русских писателей, чел.</t>
  </si>
  <si>
    <t>ВСЕГО по БА 3514.000 Организация мероприятия в сфере национальных культур и межнационального сотрудничества</t>
  </si>
  <si>
    <t xml:space="preserve">Организация и проведение культурно-массовых мероприятий
</t>
  </si>
  <si>
    <t xml:space="preserve">Прирост численности участников культурно-досуговых мероприятий 
(по сравнению 
с предыдущим годом), %
</t>
  </si>
  <si>
    <t>Организация показа концертов и концертных программ</t>
  </si>
  <si>
    <t>Количество организованных показов, ед.</t>
  </si>
  <si>
    <t xml:space="preserve">Организация деятельности клубных формирований и формирований самодеятельного народного творчества </t>
  </si>
  <si>
    <t>Количество клубных формирований, ед.</t>
  </si>
  <si>
    <t>Итого по БА 3504.000 Организация и проведение культурно-массовых мероприятий (семинары, конференции, фестивали, выставки, конкурсы, смотры и иные зрелищные мероприятия)
БЮДЖЕТ</t>
  </si>
  <si>
    <t>Итого по БА 3504.000 Организация и проведение культурно-массовых мероприятий (семинары, конференции, фестивали, выставки, конкурсы, смотры и иные зрелищные мероприятия)
ВНЕБЮДЖЕТ</t>
  </si>
  <si>
    <t>ВСЕГО по БА 3504.000 Организация и проведение культурно-массовых мероприятий (семинары, конференции, фестивали, выставки, конкурсы, смотры и иные зрелищные мероприятия)</t>
  </si>
  <si>
    <t xml:space="preserve">Проведение прикладных научных исследований 
</t>
  </si>
  <si>
    <t>Количество прикладных научных исследований, ед.</t>
  </si>
  <si>
    <t>Доля научных мониторингов и исследований по вопросам межэтнических и межнациональных отношений в общем количестве запланированных исследований в гуманитарной сфере, %</t>
  </si>
  <si>
    <t>Проведение прикладных научных исследований 
(3422.000)
ВНЕБЮДЖЕТ</t>
  </si>
  <si>
    <t xml:space="preserve">ВСЕГО по БА 3422.000 Проведение прикладных научных исследований 
</t>
  </si>
  <si>
    <t xml:space="preserve">Работа по хранению, изучению, популяризации и обеспечению сохранности коллекции фильмофонда </t>
  </si>
  <si>
    <t>Количество фильмовых материалов, хранимых в фильмофонде, ед.</t>
  </si>
  <si>
    <t>Охват населения Республики Башкортостан киноуслугами, оказываемыми кинотеатрами, киноустановками и киномобилями республики, %</t>
  </si>
  <si>
    <t>Итого по БА 3512.000  Хранение, изучение, популяризация и обеспечение сохранности коллекции фильмофонда
БЮДЖЕТ</t>
  </si>
  <si>
    <t>Итого по БА 3512.000 Хранение, изучение, популяризация и обеспечение сохранности коллекции фильмофонда
ВНЕБЮДЖЕТ</t>
  </si>
  <si>
    <t xml:space="preserve">ВСЕГО по БА 3512.000 Работа по хранению, изучению, популяризации и обеспечению сохранности коллекции фильмофонда </t>
  </si>
  <si>
    <t xml:space="preserve">Производство фильмов и кинолетописи </t>
  </si>
  <si>
    <t>Количество фильмов, находящихся в кинопроизводстве в отчетном периоде, ед.</t>
  </si>
  <si>
    <t>Итого по БА 3513.000  Производство фильмов и кинолетописи
БЮДЖЕТ</t>
  </si>
  <si>
    <t xml:space="preserve"> Библиотечное, библиографическое и информационное обслуживание пользователей библиотек
</t>
  </si>
  <si>
    <t>Количество посещений, ед.</t>
  </si>
  <si>
    <t>Посещаемость библиотек, посещений на 1 жителя в год</t>
  </si>
  <si>
    <t xml:space="preserve"> Библиотечное, библиографическое и информационное обслуживание пользователей библиотек
(БА 2502.000)
ВНЕБЮДЖЕТ </t>
  </si>
  <si>
    <t>Всего по БА 2502: Библиотечное, библиографическое и информационное обслуживание пользователей библиотек</t>
  </si>
  <si>
    <t xml:space="preserve">Формирование, учет, изучение, обеспечение физического сохранения и безопасности фондов библиотек, включая оцифровку фондов 
</t>
  </si>
  <si>
    <t>Количество документов, ед.</t>
  </si>
  <si>
    <t xml:space="preserve">Библиографическая обработка документов и создание каталогов 
</t>
  </si>
  <si>
    <t xml:space="preserve">Осуществление стабилизации, реставрации и консервации библиотечного фонда, включая книжные памятники 
</t>
  </si>
  <si>
    <t>Количество предметов, единиц</t>
  </si>
  <si>
    <t>Итого по БА 3506.000 Формирование, учет, изучение, обеспечение физического сохранения и безопасности фондов библиотеки
БЮДЖЕТ</t>
  </si>
  <si>
    <t>Итого по БА 3506.000 Формирование, учет, изучение, обеспечение физического сохранения и безопасности фондов библиотеки
ВНЕБЮДЖЕТ</t>
  </si>
  <si>
    <t>Всего по БА 3506.000 Формирование, учет, изучение, обеспечение физического сохранения и безопасности фондов библиотеки</t>
  </si>
  <si>
    <t xml:space="preserve">Публичный показ музейных предметов, музейных коллекций 
</t>
  </si>
  <si>
    <t>частично платная</t>
  </si>
  <si>
    <t>Число посетителей, чел.</t>
  </si>
  <si>
    <t>Посещаемость музейных учреждений, посещения на 1 жителя республики в год</t>
  </si>
  <si>
    <t>Публичный показ музейных предметов, музейных коллекций 
ВНЕБЮДЖЕТ</t>
  </si>
  <si>
    <t xml:space="preserve">Всего по БА 2503 Публичный показ музейных предметов, музейных коллекций </t>
  </si>
  <si>
    <t xml:space="preserve">Формирование, учет, изучение, обеспечение физического сохранения и безопасности музейных предметов, музейных коллекций 
</t>
  </si>
  <si>
    <t>Количество предметов, ед.</t>
  </si>
  <si>
    <t>Доля представленных 
(во всех формах) посетителям музейных предметов в общем количестве музейных предметов основного фонда, %</t>
  </si>
  <si>
    <t xml:space="preserve">Создание экспозиций (выставок) музеев, организация выездных выставок 
</t>
  </si>
  <si>
    <t>Количество экспозиций, ед.</t>
  </si>
  <si>
    <t xml:space="preserve">Осуществление реставрации и консервации музейных предметов, музейных коллекций
</t>
  </si>
  <si>
    <t>Итого по БА 3508.000 Формирование, учет, хранение, реставрация музейных предметов, создание экспозиций музеев, обеспечение сохранности и проведение иных программных мероприятий БЮДЖЕТ</t>
  </si>
  <si>
    <t>Итого по БА 3508.000 Формирование, учет, хранение, реставрация музейных предметов, создание экспозиций музеев, обеспечение сохранности и проведение иных программных мероприятий ВНЕБЮДЖЕТ</t>
  </si>
  <si>
    <t>Всего по БА 3508.000 Формирование, учет, хранение, реставрация музейных предметов, создание экспозиций музеев, обеспечение сохранности и проведение иных программных мероприятий</t>
  </si>
  <si>
    <t xml:space="preserve">Показ (организация показа) спектаклей (театральных постановок)
</t>
  </si>
  <si>
    <t>платная</t>
  </si>
  <si>
    <t>Число зрителей, чел.</t>
  </si>
  <si>
    <t>Посещения театрально-концертных мероприятий (по сравнению 
с предыдущим годом), %</t>
  </si>
  <si>
    <t>Показ (организация показа) спектаклей
(БА 2501.000)
ВНЕБЮДЖЕТ</t>
  </si>
  <si>
    <t xml:space="preserve">Показ (организация показа) концертных программ 
</t>
  </si>
  <si>
    <t>Показ (организация показа) концертов и концертных программ 
ВНЕБЮДЖЕТ</t>
  </si>
  <si>
    <t>Итого по БА 2501.000 Показ спектаклей, концертов, концертных программ  
БЮДЖЕТ</t>
  </si>
  <si>
    <t>Итого по БА 2501.000 Показ спектаклей, концертов, концертных программ 
ВНЕБЮДЖЕТ</t>
  </si>
  <si>
    <t xml:space="preserve">ВСЕГО по БА 2501.000 Показ спектаклей, концертов, концертных программ  </t>
  </si>
  <si>
    <t xml:space="preserve">Создание спектаклей
</t>
  </si>
  <si>
    <t>Количество новых (капитально-возобновленных) постановок, ед.</t>
  </si>
  <si>
    <t xml:space="preserve"> Создание концертов и концертных программ
</t>
  </si>
  <si>
    <t>Количество новых (капитально-возобновленных) концертов, ед.</t>
  </si>
  <si>
    <t>Создание концертов и концертных программ
ВНЕБЮДЖЕТ</t>
  </si>
  <si>
    <t>Итого по БА 3501.000 Выполнение работ по созданию спектаклей, концертов, концертных программ БЮДЖЕТ</t>
  </si>
  <si>
    <t>Итого по БА 3501.000 Выполнение работ по созданию спектаклей, концертов, концертных программ ВНЕБЮДЖЕТ</t>
  </si>
  <si>
    <t>ВСЕГО по БА 3501.000 Выполнение работ по созданию спектаклей, концертов, концертных программ</t>
  </si>
  <si>
    <t xml:space="preserve">Ведение информационных ресурсов и баз данных
</t>
  </si>
  <si>
    <t>Количество записей, ед.</t>
  </si>
  <si>
    <t>ВСЕГО по БА 3613.000 Ведение информационных ресурсов и баз данных</t>
  </si>
  <si>
    <t>Информация о выполнении государственных заданий за 2019 год по Министерству  образования и науки Республики Башкортостан</t>
  </si>
  <si>
    <t>фактическое значение по итогам 
2019 года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</si>
  <si>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</si>
  <si>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Число обучающихся, чел.</t>
  </si>
  <si>
    <t>Доля профессиональных образовательных организаций, в которых осуществляется подготовка кадров по 50 наиболее перспективным и востребованным на рынке труда профессиям и специальностям, требующим среднего профессионального образования, в общем количестве профессиональных образовательных организаций, %</t>
  </si>
  <si>
    <t xml:space="preserve">
Реализация образовательных программ среднего профессионального образования - программ подготовки специалистов среднего звена 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</si>
  <si>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</si>
  <si>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Реализация основных общеобразовательных программ начального общего образования</t>
  </si>
  <si>
    <t>Доля обучающихся общеобразовательных организаций, обучающихся по новым федеральным государственным образовательным стандартам, в общем числе обучающихся общеобразовательных организаций, %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</si>
  <si>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</si>
  <si>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</si>
  <si>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Содержание детей</t>
  </si>
  <si>
    <t>Реализация основных общеобразовательных программ дошкольного образования</t>
  </si>
  <si>
    <t>Доля воспитанников дошкольных образовательных организаций, охваченных программами дошкольного образования в соответствии с федеральным государственным образовательным стандартом дошкольного образования, в общей численности воспитанников, посещающих дошкольные образовательные организации, %</t>
  </si>
  <si>
    <t>Присмотр и уход</t>
  </si>
  <si>
    <t>Число человеко-дней пребывания, человеко-день</t>
  </si>
  <si>
    <t>Содержание и воспитание детей-сирот и детей, оставшихся без попечения родителей, детей, находящихся в трудной жизненной ситуации</t>
  </si>
  <si>
    <t>Численность граждан, получивших социальные услуги, человек</t>
  </si>
  <si>
    <t>Доля детей, оставшихся без попечения родителей, - всего, в том числе переданных неродственникам (в приемные семьи, на усыновление (удочерение), под опеку (попечительство), в семейные детские дома и патронатные семьи), находящихся в государственных (муниципальных) организациях всех типов, %</t>
  </si>
  <si>
    <t>Разработка нормативно-методической базы и системы поддержки инициативных проектов по предоставлению среднего профессионального образования людям с ограниченными возможностями здоровья в Республике Башкортостан</t>
  </si>
  <si>
    <t>Количество мероприятий, ед.</t>
  </si>
  <si>
    <t xml:space="preserve">Реализация дополнительных общеразвивающих программ
</t>
  </si>
  <si>
    <t>Охват детей в возрасте от пяти до восемнадцати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пяти до восемнадцати лет, %</t>
  </si>
  <si>
    <t xml:space="preserve"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 </t>
  </si>
  <si>
    <t>Доля обучающихся - победителей и призеров олимпиад и конкурсов, проводимых на региональном, межрегиональном, федеральном, международном уровнях, в общем количестве участников от Республики Башкортостан в таких мероприятиях, %</t>
  </si>
  <si>
    <t>Психолого-медико-педагогическое обследование детей</t>
  </si>
  <si>
    <t>Число обучающихся, человек</t>
  </si>
  <si>
    <t>Доля получателей государственной услуги в сфере образования, удовлетворенных полнотой и качеством этой услуги, в общем количестве опрошенных, %</t>
  </si>
  <si>
    <t>Реализация дополнительных профессиональных программ повышения квалификации</t>
  </si>
  <si>
    <t xml:space="preserve">Количество человека -часов, человеко-час
</t>
  </si>
  <si>
    <t>Доля педагогов, прошедших профессиональную подготовку, переподготовку и повышение квалификации, в общем количестве педагогических работников республики, %</t>
  </si>
  <si>
    <t>Обеспечение проведения аттестации педагогических работников государственных (муниципальных, частных) образовательных организаций</t>
  </si>
  <si>
    <t>Обеспечение проведения государственной итоговой аттестации по образовательным программам основного общего и среднего общего образования</t>
  </si>
  <si>
    <t>Количество человеко-экзаменов, человеко-экзамен</t>
  </si>
  <si>
    <t>Отношение среднего балла единого государственного экзамена (далее - ЕГЭ) (в расчете на 1 предмет) в 10% общеобразовательных организаций с лучшими результатами ЕГЭ к среднему баллу ЕГЭ (в расчете на 1 предмет) в 10% общеобразовательных организаций с худшими результатами ЕГЭ, %</t>
  </si>
  <si>
    <t>-</t>
  </si>
  <si>
    <t>Методическое обеспечение образовательной деятельности</t>
  </si>
  <si>
    <t>Обеспечение осуществления мониторинга в системе образования</t>
  </si>
  <si>
    <t xml:space="preserve">Психолого-педагогическое консультирование обучающихся, их родителей (законных представителей) и педагогических работников </t>
  </si>
  <si>
    <t>Число обучающихся, их родителей (законных представителей) и педагогических работников,
 человек</t>
  </si>
  <si>
    <t>Информация о выполнении государственных заданий за 2019 год по Государственному комитету Республики Башкортостан по чрезвычайным ситуациям</t>
  </si>
  <si>
    <t>Число человеко-часов, человеко-час</t>
  </si>
  <si>
    <t>экономический ущерб
от ЧС и происшествий, млн. рублей</t>
  </si>
  <si>
    <t>количество населения, погибшего и травмированного при ЧС и оперативных событиях, чел.</t>
  </si>
  <si>
    <t>Обеспечение пожарной безопасности</t>
  </si>
  <si>
    <t>число спасенных на пожарах на одного погибшего, травмированного и пострадавшего на пожарах, чел.</t>
  </si>
  <si>
    <t>Защита населения и территорий от чрезвычайных ситуаций природного и техногенного характера</t>
  </si>
  <si>
    <t xml:space="preserve">экономический ущерб
от ЧС и происшествий, млн. рублей
</t>
  </si>
  <si>
    <t>Создание и поддержание в состоянии постоянной готовности к использованию локальных систем оповещения</t>
  </si>
  <si>
    <t>Создание, хранение, использование и восполнение резервов материальных ресурсов для ликвидации чрезвычайных ситуаций</t>
  </si>
  <si>
    <t>уровень готовности органов управления и сил БТП РСЧС к выполнению возложенных задач, %</t>
  </si>
  <si>
    <t>Обеспечение мероприятий по гражданской обороне</t>
  </si>
  <si>
    <t>Количество проведенных  мероприятий, ед.</t>
  </si>
  <si>
    <t>Снижение количества погибших от пожаров, чел.</t>
  </si>
  <si>
    <t>Снижение количества пострадавших от пожаров, чел.</t>
  </si>
  <si>
    <t>726</t>
  </si>
  <si>
    <t>предоставление земельного участка для погребения умершего</t>
  </si>
  <si>
    <t>шт.</t>
  </si>
  <si>
    <t>выдача справки о захоронении</t>
  </si>
  <si>
    <t>выдача разрешения на установку надмогильного сооружения</t>
  </si>
  <si>
    <t>организация и содержание мест захоронения (вырубка  кустарника  подлеска вручную  на кладбище №2,3)</t>
  </si>
  <si>
    <t>га</t>
  </si>
  <si>
    <t>организация и содержание мест захоронения (охрана территории кладбищ)</t>
  </si>
  <si>
    <t>организация и содержание мест захоронения (обеспечение водой кладбища №3)</t>
  </si>
  <si>
    <t>м3</t>
  </si>
  <si>
    <t>организация и содержание мест захоронения (ведение учета и инвентаризация захоронений)</t>
  </si>
  <si>
    <t>организация и содержание мест захоронения (вырубка деревьев на кладбище №2)</t>
  </si>
  <si>
    <t>уборка территорий-содержание городских кладбищ (от мусора и снега)</t>
  </si>
  <si>
    <t>кв.м</t>
  </si>
  <si>
    <t>уборка территорий-своевременный вывоз мусора с территории кладбищ</t>
  </si>
  <si>
    <t>Уборка территории и аналогичная деятельность в летний период</t>
  </si>
  <si>
    <t>Доля обоснованных жалоб на качество оказанных услуг по содержанию и уборке территории парков и скверов</t>
  </si>
  <si>
    <t xml:space="preserve">Качество оказанных услуг, доля своевременно устраненных учреждением нарушений, выявленных в результате проверок органами местного самоуправления городского округа город Салават Республики Башкортостан, осуществляющими функции по контролю и надзору в сфере жилищно-коммунального хозяйства </t>
  </si>
  <si>
    <t>куб.м</t>
  </si>
  <si>
    <t>Уборка территории и аналогичная деятельность в зимний период</t>
  </si>
  <si>
    <t>Содержание объектов озеленения</t>
  </si>
  <si>
    <t>Благоустройство объектов озеленения</t>
  </si>
  <si>
    <t>Организация мероприятий,направленных на профилактику асоциального и деструктивного поведения подростков и молодежи, поддержка детей и молодежи, находящейся в социально - опасном положении</t>
  </si>
  <si>
    <t>количество мероприятий</t>
  </si>
  <si>
    <t>Доля детей, подростков, молодежи, охваченных  социально - психологической помощью в общем числе молодежи</t>
  </si>
  <si>
    <t>Организация работы с подростками и молодежью</t>
  </si>
  <si>
    <t>количество потребителей</t>
  </si>
  <si>
    <t>Доля молодёжи, принимающая участие в мероприятиях, в числе общего количества молодёжи</t>
  </si>
  <si>
    <t>Доля обращений, по которым справки о захоронении представлены в установленные сроки,от общего количества таких обращений</t>
  </si>
  <si>
    <t>Доля обращений, по которым разрешения  на установку надмогильного сооружения представлены в установленные сроки,от общего количества таких обращений</t>
  </si>
  <si>
    <t>732</t>
  </si>
  <si>
    <t xml:space="preserve">Качество оказанных услуг (работ), доля своевременно устраненных учреждением нарушений, выявленных в результате проверок органами местного самоуправления городского округа город Салават Республики Башкортостан, осуществляющими функции по контролю и надзору в сфере жилищно-коммунального хозяйства </t>
  </si>
  <si>
    <t>Доля предоставленных земельных участков для погребения умершего в установленные сроки,от общего количества таких обращений</t>
  </si>
  <si>
    <t>769</t>
  </si>
  <si>
    <t>770</t>
  </si>
  <si>
    <t>Спортивная подготовка по олимпийским видам спорта</t>
  </si>
  <si>
    <t>человек</t>
  </si>
  <si>
    <t>Число лиц, прошедших спортивную подготовку на этапе спортивной подготовки</t>
  </si>
  <si>
    <t>Спортивная подготовка по неолимпийским видам спорта</t>
  </si>
  <si>
    <t>Спортивная подготовка по спорту глухих</t>
  </si>
  <si>
    <t>Спортивная подготовка по спорту лиц с поражением ОДА</t>
  </si>
  <si>
    <t>Реализация дополнительных общеобразовательных предпрофессиональных программ</t>
  </si>
  <si>
    <t>численность обучающихся (чел)</t>
  </si>
  <si>
    <t>Доля детей, ставших победителями и призерами всероссийских и международных мероприятий</t>
  </si>
  <si>
    <t>Библиотечное, библиографическое и информационное обслуживание пользователей библиотеки</t>
  </si>
  <si>
    <t>количество посещений</t>
  </si>
  <si>
    <t>Посещаемость библиотек, посещение на 1 жителя в год.</t>
  </si>
  <si>
    <t>Посещаемость музейных учреждений на 1 жителя в год.</t>
  </si>
  <si>
    <t>Организация и проведение культурно-массовых мероприятий</t>
  </si>
  <si>
    <t>Увеличение численности участников культурно-досуговых мероприятий за счет интнрнет -пользователей.</t>
  </si>
  <si>
    <t>количество участников мероприятий</t>
  </si>
  <si>
    <t>количество проведенных мероприятий (час)</t>
  </si>
  <si>
    <t>Заместитель главы Администрации -
начальник Финансового управления</t>
  </si>
  <si>
    <t>"15" марта 2021г.</t>
  </si>
  <si>
    <t>Исп. Зверева Л.А. 8(3476)35-20-20</t>
  </si>
  <si>
    <t>(подпись)</t>
  </si>
  <si>
    <t>Силкина Т.Н.</t>
  </si>
  <si>
    <t>(расшифровка)</t>
  </si>
  <si>
    <t>Доля родителей воспитанников удовлетворенных качеством и доступностью  образовательной услуги</t>
  </si>
  <si>
    <t>775</t>
  </si>
  <si>
    <t>Доля пед. работников, имеющих первую и высшую квалификационные категории от ощего числа педагогичяеских работников</t>
  </si>
  <si>
    <t>Доля обучающихся, обеспеченных учебно-методическим комплектом (УМК)</t>
  </si>
  <si>
    <t>Освоение обучающимися образовательной программы начального общего образования</t>
  </si>
  <si>
    <t>Доля родителей (законных представителей) обучающихся, удовлетворенных качеством и доступностью  образовательной услуги</t>
  </si>
  <si>
    <t>Доля выпускников 9-х классов, получивших аттестат об основном общем образовании</t>
  </si>
  <si>
    <t>Доля выпускников 11(12) Кл., получивших аттестаты о среднем общем образовании</t>
  </si>
  <si>
    <t>Реализация образовательных программ дополнительного образования детей</t>
  </si>
  <si>
    <t>Доля детей, осваивающих дополнительные общеразвивающие программы в образовательном учреждении</t>
  </si>
  <si>
    <t xml:space="preserve">Доля детей ставших победителямии и призерами всеросийских, международных, региональных,муниципальных мероприятий </t>
  </si>
  <si>
    <t>Доля родителей  (законных представителей), удовлетворенных условиями и качеством предоставляемой образовательной услуги</t>
  </si>
  <si>
    <t>курсы</t>
  </si>
  <si>
    <t>организация отдыха детей и молодежи</t>
  </si>
  <si>
    <t>физ лица</t>
  </si>
  <si>
    <t>Эфективность оздоровительной компании</t>
  </si>
  <si>
    <t>Предоставление дополнительного образования взрослых</t>
  </si>
  <si>
    <t>уровень заполненных мест в учреждении</t>
  </si>
  <si>
    <t>Соответствие места и условий оказания услуг требованиям</t>
  </si>
  <si>
    <t>Количество проведенных в отчетном периоде мероприятий для детей и/или с участием детей)</t>
  </si>
  <si>
    <t>Процент родителей (законных представителей) воспитпнников, удовлетворенных количеством и доступностью услуги</t>
  </si>
  <si>
    <t>не менее 60</t>
  </si>
  <si>
    <t>укомплектованность штатов</t>
  </si>
  <si>
    <t xml:space="preserve">Доля пед. работников, имеющих первую и высшую квалификационные </t>
  </si>
  <si>
    <t xml:space="preserve">Фактический объем субсидии на выполнение МЗ, доведенный до учреж-дения(ий)  </t>
  </si>
  <si>
    <t xml:space="preserve">Количество учреждений 
с отклонением уточненного значения 
от первоначально утвержденного значения </t>
  </si>
  <si>
    <t>Доля слушателей освоевших программу повышения квалификации от общего количества слушателей, зачисленных на обучение</t>
  </si>
  <si>
    <t xml:space="preserve">Фактический объем субсидии на выполнение МЗ, доведенный до учрежде-ния(ий)  </t>
  </si>
  <si>
    <t xml:space="preserve">Публичный показ музейных предметов, музейных коллекций </t>
  </si>
  <si>
    <t>Сводная оценка качества оказания муниц.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</si>
</sst>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&quot; ₽&quot;_-;\-* #,##0.00&quot; ₽&quot;_-;_-* \-??&quot; ₽&quot;_-;_-@_-"/>
    <numFmt numFmtId="165" formatCode="_-* #,##0.00\ _₽_-;\-* #,##0.00\ _₽_-;_-* \-??\ _₽_-;_-@_-"/>
    <numFmt numFmtId="166" formatCode="_-* #,##0.00_р_._-;\-* #,##0.00_р_._-;_-* \-??_р_._-;_-@_-"/>
    <numFmt numFmtId="167" formatCode="#,##0.0"/>
    <numFmt numFmtId="168" formatCode="0.0"/>
    <numFmt numFmtId="169" formatCode="#,##0.00;&quot; - &quot;#,##0.00;&quot; -&quot;"/>
    <numFmt numFmtId="170" formatCode="_-* #,##0.0\ _₽_-;\-* #,##0.0\ _₽_-;_-* &quot;-&quot;??\ _₽_-;_-@_-"/>
  </numFmts>
  <fonts count="3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1"/>
      <color rgb="FF9C0006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7CE"/>
        <bgColor rgb="FFD9DEE5"/>
      </patternFill>
    </fill>
    <fill>
      <patternFill patternType="solid">
        <fgColor rgb="FFFFFFFF"/>
        <bgColor rgb="FFFFFFCC"/>
      </patternFill>
    </fill>
    <fill>
      <patternFill patternType="solid">
        <fgColor rgb="FFD9DEE5"/>
        <bgColor rgb="FFD6EC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65" fontId="21" fillId="0" borderId="0" applyBorder="0" applyProtection="0"/>
    <xf numFmtId="164" fontId="21" fillId="0" borderId="0" applyBorder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5" fillId="0" borderId="0"/>
    <xf numFmtId="0" fontId="7" fillId="0" borderId="0"/>
    <xf numFmtId="0" fontId="21" fillId="0" borderId="0"/>
    <xf numFmtId="0" fontId="5" fillId="0" borderId="0"/>
    <xf numFmtId="0" fontId="5" fillId="0" borderId="0"/>
    <xf numFmtId="165" fontId="21" fillId="0" borderId="0" applyBorder="0" applyProtection="0"/>
    <xf numFmtId="165" fontId="21" fillId="0" borderId="0" applyBorder="0" applyProtection="0"/>
    <xf numFmtId="166" fontId="21" fillId="0" borderId="0" applyBorder="0" applyProtection="0"/>
    <xf numFmtId="166" fontId="21" fillId="0" borderId="0" applyBorder="0" applyProtection="0"/>
    <xf numFmtId="0" fontId="20" fillId="2" borderId="0" applyBorder="0" applyProtection="0"/>
  </cellStyleXfs>
  <cellXfs count="466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1" fontId="0" fillId="0" borderId="0" xfId="0" applyNumberFormat="1"/>
    <xf numFmtId="4" fontId="0" fillId="0" borderId="0" xfId="0" applyNumberFormat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top" wrapText="1"/>
    </xf>
    <xf numFmtId="49" fontId="12" fillId="0" borderId="3" xfId="3" applyNumberFormat="1" applyFont="1" applyBorder="1" applyAlignment="1">
      <alignment horizontal="center" vertical="center" wrapText="1"/>
    </xf>
    <xf numFmtId="9" fontId="12" fillId="0" borderId="3" xfId="3" applyNumberFormat="1" applyFont="1" applyBorder="1" applyAlignment="1">
      <alignment horizontal="center" vertical="center" wrapText="1"/>
    </xf>
    <xf numFmtId="9" fontId="12" fillId="0" borderId="1" xfId="3" applyNumberFormat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wrapText="1"/>
    </xf>
    <xf numFmtId="0" fontId="13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2" fontId="13" fillId="3" borderId="1" xfId="0" applyNumberFormat="1" applyFont="1" applyFill="1" applyBorder="1" applyAlignment="1">
      <alignment horizontal="right" vertical="center"/>
    </xf>
    <xf numFmtId="167" fontId="13" fillId="3" borderId="1" xfId="0" applyNumberFormat="1" applyFont="1" applyFill="1" applyBorder="1" applyAlignment="1">
      <alignment horizontal="right" vertical="center"/>
    </xf>
    <xf numFmtId="165" fontId="13" fillId="3" borderId="1" xfId="1" applyFont="1" applyFill="1" applyBorder="1" applyAlignment="1" applyProtection="1">
      <alignment horizontal="right" vertical="center"/>
    </xf>
    <xf numFmtId="167" fontId="13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4" fontId="14" fillId="3" borderId="4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right" vertical="center"/>
    </xf>
    <xf numFmtId="167" fontId="14" fillId="3" borderId="1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 wrapText="1"/>
    </xf>
    <xf numFmtId="4" fontId="12" fillId="3" borderId="3" xfId="12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15" fillId="0" borderId="0" xfId="0" applyFont="1"/>
    <xf numFmtId="2" fontId="14" fillId="3" borderId="1" xfId="0" applyNumberFormat="1" applyFont="1" applyFill="1" applyBorder="1" applyAlignment="1">
      <alignment horizontal="right" vertical="center"/>
    </xf>
    <xf numFmtId="165" fontId="14" fillId="3" borderId="1" xfId="1" applyFont="1" applyFill="1" applyBorder="1" applyAlignment="1" applyProtection="1">
      <alignment horizontal="right" vertical="center"/>
    </xf>
    <xf numFmtId="4" fontId="10" fillId="3" borderId="1" xfId="12" applyNumberFormat="1" applyFont="1" applyFill="1" applyBorder="1" applyAlignment="1" applyProtection="1">
      <alignment horizontal="left" vertical="center" wrapText="1"/>
      <protection locked="0"/>
    </xf>
    <xf numFmtId="4" fontId="10" fillId="3" borderId="1" xfId="12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right" vertical="center"/>
    </xf>
    <xf numFmtId="1" fontId="13" fillId="3" borderId="1" xfId="0" applyNumberFormat="1" applyFont="1" applyFill="1" applyBorder="1" applyAlignment="1">
      <alignment horizontal="right" vertical="center"/>
    </xf>
    <xf numFmtId="168" fontId="13" fillId="3" borderId="1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left" vertical="center"/>
    </xf>
    <xf numFmtId="2" fontId="14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right" vertical="center" wrapText="1"/>
    </xf>
    <xf numFmtId="165" fontId="13" fillId="3" borderId="1" xfId="1" applyFont="1" applyFill="1" applyBorder="1" applyAlignment="1" applyProtection="1">
      <alignment horizontal="right" vertical="center" wrapText="1"/>
    </xf>
    <xf numFmtId="2" fontId="13" fillId="3" borderId="1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left" vertical="center"/>
    </xf>
    <xf numFmtId="2" fontId="14" fillId="3" borderId="1" xfId="0" applyNumberFormat="1" applyFont="1" applyFill="1" applyBorder="1" applyAlignment="1">
      <alignment horizontal="left" vertical="center"/>
    </xf>
    <xf numFmtId="168" fontId="13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/>
    </xf>
    <xf numFmtId="3" fontId="13" fillId="3" borderId="1" xfId="0" applyNumberFormat="1" applyFont="1" applyFill="1" applyBorder="1" applyAlignment="1">
      <alignment horizontal="right" vertical="center"/>
    </xf>
    <xf numFmtId="4" fontId="12" fillId="3" borderId="1" xfId="12" applyNumberFormat="1" applyFont="1" applyFill="1" applyBorder="1" applyAlignment="1" applyProtection="1">
      <alignment horizontal="right" vertical="center" wrapText="1"/>
      <protection locked="0"/>
    </xf>
    <xf numFmtId="49" fontId="13" fillId="3" borderId="1" xfId="1" applyNumberFormat="1" applyFont="1" applyFill="1" applyBorder="1" applyAlignment="1" applyProtection="1">
      <alignment horizontal="left" vertical="center" wrapText="1"/>
    </xf>
    <xf numFmtId="4" fontId="12" fillId="3" borderId="1" xfId="12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165" fontId="13" fillId="3" borderId="1" xfId="1" applyFont="1" applyFill="1" applyBorder="1" applyAlignment="1" applyProtection="1">
      <alignment horizontal="left" vertical="center" wrapText="1"/>
    </xf>
    <xf numFmtId="4" fontId="14" fillId="3" borderId="1" xfId="0" applyNumberFormat="1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 applyAlignment="1">
      <alignment horizontal="right" vertical="center"/>
    </xf>
    <xf numFmtId="0" fontId="13" fillId="3" borderId="1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 applyProtection="1">
      <alignment horizontal="right" vertical="center"/>
      <protection locked="0"/>
    </xf>
    <xf numFmtId="4" fontId="12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 applyAlignment="1">
      <alignment horizontal="center" vertical="top" wrapText="1"/>
    </xf>
    <xf numFmtId="4" fontId="12" fillId="3" borderId="3" xfId="0" applyNumberFormat="1" applyFont="1" applyFill="1" applyBorder="1" applyAlignment="1" applyProtection="1">
      <alignment horizontal="right" vertical="center"/>
      <protection locked="0"/>
    </xf>
    <xf numFmtId="4" fontId="12" fillId="3" borderId="1" xfId="0" applyNumberFormat="1" applyFont="1" applyFill="1" applyBorder="1" applyAlignment="1">
      <alignment horizontal="right" vertical="center" wrapText="1"/>
    </xf>
    <xf numFmtId="4" fontId="12" fillId="3" borderId="3" xfId="0" applyNumberFormat="1" applyFont="1" applyFill="1" applyBorder="1" applyAlignment="1" applyProtection="1">
      <alignment horizontal="left" vertical="center" wrapText="1"/>
      <protection locked="0"/>
    </xf>
    <xf numFmtId="4" fontId="12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13" fillId="3" borderId="3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2" fontId="14" fillId="3" borderId="1" xfId="0" applyNumberFormat="1" applyFont="1" applyFill="1" applyBorder="1" applyAlignment="1">
      <alignment horizontal="right" vertical="center" wrapText="1"/>
    </xf>
    <xf numFmtId="4" fontId="10" fillId="3" borderId="1" xfId="12" applyNumberFormat="1" applyFont="1" applyFill="1" applyBorder="1" applyAlignment="1" applyProtection="1">
      <alignment horizontal="right" vertical="center" wrapText="1"/>
      <protection locked="0"/>
    </xf>
    <xf numFmtId="0" fontId="14" fillId="3" borderId="1" xfId="0" applyFont="1" applyFill="1" applyBorder="1" applyAlignment="1">
      <alignment horizontal="right" vertical="center" wrapText="1"/>
    </xf>
    <xf numFmtId="0" fontId="17" fillId="3" borderId="0" xfId="0" applyFont="1" applyFill="1" applyAlignment="1">
      <alignment horizontal="center" vertical="top" wrapText="1"/>
    </xf>
    <xf numFmtId="0" fontId="12" fillId="3" borderId="1" xfId="0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169" fontId="12" fillId="3" borderId="3" xfId="0" applyNumberFormat="1" applyFont="1" applyFill="1" applyBorder="1" applyAlignment="1" applyProtection="1">
      <alignment horizontal="right" vertical="center"/>
      <protection locked="0"/>
    </xf>
    <xf numFmtId="3" fontId="1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4" fillId="3" borderId="1" xfId="0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15" fillId="3" borderId="1" xfId="0" applyFont="1" applyFill="1" applyBorder="1"/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3" fontId="8" fillId="0" borderId="0" xfId="0" applyNumberFormat="1" applyFont="1" applyAlignment="1">
      <alignment vertical="center" wrapText="1"/>
    </xf>
    <xf numFmtId="0" fontId="8" fillId="0" borderId="0" xfId="0" applyFont="1" applyAlignment="1">
      <alignment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3" fontId="8" fillId="0" borderId="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1" fontId="12" fillId="0" borderId="3" xfId="3" applyNumberFormat="1" applyFont="1" applyBorder="1" applyAlignment="1">
      <alignment horizontal="center" vertical="top" wrapText="1"/>
    </xf>
    <xf numFmtId="1" fontId="12" fillId="0" borderId="1" xfId="3" applyNumberFormat="1" applyFont="1" applyBorder="1" applyAlignment="1">
      <alignment horizontal="center" vertical="center" wrapText="1"/>
    </xf>
    <xf numFmtId="1" fontId="12" fillId="0" borderId="3" xfId="3" applyNumberFormat="1" applyFont="1" applyBorder="1" applyAlignment="1">
      <alignment horizontal="center" vertical="center" wrapText="1"/>
    </xf>
    <xf numFmtId="3" fontId="12" fillId="0" borderId="3" xfId="3" applyNumberFormat="1" applyFont="1" applyBorder="1" applyAlignment="1">
      <alignment horizontal="center" vertical="top" wrapText="1"/>
    </xf>
    <xf numFmtId="1" fontId="13" fillId="0" borderId="1" xfId="3" applyNumberFormat="1" applyFont="1" applyBorder="1" applyAlignment="1">
      <alignment horizontal="center" wrapText="1"/>
    </xf>
    <xf numFmtId="1" fontId="0" fillId="0" borderId="0" xfId="0" applyNumberFormat="1" applyFont="1" applyAlignment="1">
      <alignment horizontal="center" wrapText="1"/>
    </xf>
    <xf numFmtId="0" fontId="13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1" fontId="13" fillId="0" borderId="1" xfId="0" applyNumberFormat="1" applyFont="1" applyBorder="1" applyAlignment="1">
      <alignment horizontal="right" vertical="center" wrapText="1"/>
    </xf>
    <xf numFmtId="4" fontId="12" fillId="0" borderId="1" xfId="12" applyNumberFormat="1" applyFont="1" applyBorder="1" applyAlignment="1" applyProtection="1">
      <alignment horizontal="right" vertical="center" wrapText="1"/>
      <protection locked="0"/>
    </xf>
    <xf numFmtId="4" fontId="12" fillId="0" borderId="2" xfId="12" applyNumberFormat="1" applyFont="1" applyBorder="1" applyAlignment="1" applyProtection="1">
      <alignment horizontal="left" vertical="top" wrapText="1"/>
      <protection locked="0"/>
    </xf>
    <xf numFmtId="3" fontId="12" fillId="0" borderId="2" xfId="12" applyNumberFormat="1" applyFont="1" applyBorder="1" applyAlignment="1" applyProtection="1">
      <alignment horizontal="right" vertical="center" wrapText="1"/>
      <protection locked="0"/>
    </xf>
    <xf numFmtId="2" fontId="13" fillId="0" borderId="2" xfId="0" applyNumberFormat="1" applyFont="1" applyBorder="1" applyAlignment="1">
      <alignment horizontal="right" vertical="center" wrapText="1"/>
    </xf>
    <xf numFmtId="0" fontId="18" fillId="4" borderId="0" xfId="0" applyFont="1" applyFill="1" applyAlignment="1">
      <alignment horizontal="right" wrapText="1"/>
    </xf>
    <xf numFmtId="0" fontId="18" fillId="4" borderId="0" xfId="0" applyFont="1" applyFill="1" applyAlignment="1">
      <alignment wrapText="1"/>
    </xf>
    <xf numFmtId="3" fontId="12" fillId="0" borderId="1" xfId="0" applyNumberFormat="1" applyFont="1" applyBorder="1" applyAlignment="1">
      <alignment horizontal="right" vertical="center" wrapText="1"/>
    </xf>
    <xf numFmtId="1" fontId="1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167" fontId="13" fillId="0" borderId="1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top" wrapText="1"/>
    </xf>
    <xf numFmtId="3" fontId="13" fillId="0" borderId="2" xfId="0" applyNumberFormat="1" applyFont="1" applyBorder="1" applyAlignment="1">
      <alignment horizontal="right" vertical="center" wrapText="1"/>
    </xf>
    <xf numFmtId="1" fontId="13" fillId="3" borderId="1" xfId="0" applyNumberFormat="1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horizontal="left" vertical="top" wrapText="1"/>
    </xf>
    <xf numFmtId="3" fontId="13" fillId="3" borderId="2" xfId="0" applyNumberFormat="1" applyFont="1" applyFill="1" applyBorder="1" applyAlignment="1">
      <alignment horizontal="right" vertical="center" wrapText="1"/>
    </xf>
    <xf numFmtId="2" fontId="13" fillId="3" borderId="2" xfId="0" applyNumberFormat="1" applyFont="1" applyFill="1" applyBorder="1" applyAlignment="1">
      <alignment horizontal="right" vertical="center" wrapText="1"/>
    </xf>
    <xf numFmtId="0" fontId="18" fillId="3" borderId="0" xfId="0" applyFont="1" applyFill="1" applyAlignment="1">
      <alignment horizontal="right" wrapText="1"/>
    </xf>
    <xf numFmtId="0" fontId="18" fillId="3" borderId="0" xfId="0" applyFont="1" applyFill="1" applyAlignment="1">
      <alignment wrapText="1"/>
    </xf>
    <xf numFmtId="3" fontId="13" fillId="3" borderId="1" xfId="0" applyNumberFormat="1" applyFont="1" applyFill="1" applyBorder="1" applyAlignment="1">
      <alignment horizontal="right" vertical="center" wrapText="1"/>
    </xf>
    <xf numFmtId="0" fontId="12" fillId="3" borderId="1" xfId="20" applyFont="1" applyFill="1" applyBorder="1" applyAlignment="1" applyProtection="1">
      <alignment horizontal="left" vertical="center" wrapText="1" shrinkToFit="1"/>
    </xf>
    <xf numFmtId="0" fontId="12" fillId="3" borderId="1" xfId="20" applyFont="1" applyFill="1" applyBorder="1" applyAlignment="1" applyProtection="1">
      <alignment horizontal="center" vertical="center" wrapText="1" shrinkToFit="1"/>
    </xf>
    <xf numFmtId="3" fontId="12" fillId="3" borderId="1" xfId="20" applyNumberFormat="1" applyFont="1" applyFill="1" applyBorder="1" applyAlignment="1" applyProtection="1">
      <alignment horizontal="right" vertical="center" wrapText="1" shrinkToFit="1"/>
    </xf>
    <xf numFmtId="1" fontId="12" fillId="3" borderId="1" xfId="20" applyNumberFormat="1" applyFont="1" applyFill="1" applyBorder="1" applyAlignment="1" applyProtection="1">
      <alignment horizontal="right" vertical="center" wrapText="1" shrinkToFit="1"/>
    </xf>
    <xf numFmtId="4" fontId="12" fillId="3" borderId="1" xfId="20" applyNumberFormat="1" applyFont="1" applyFill="1" applyBorder="1" applyAlignment="1" applyProtection="1">
      <alignment horizontal="right" vertical="center" wrapText="1" shrinkToFit="1"/>
    </xf>
    <xf numFmtId="0" fontId="12" fillId="3" borderId="1" xfId="0" applyFont="1" applyFill="1" applyBorder="1" applyAlignment="1">
      <alignment horizontal="left" vertical="top" wrapText="1" shrinkToFit="1"/>
    </xf>
    <xf numFmtId="3" fontId="12" fillId="3" borderId="1" xfId="0" applyNumberFormat="1" applyFont="1" applyFill="1" applyBorder="1" applyAlignment="1">
      <alignment horizontal="right" vertical="center" wrapText="1" shrinkToFit="1"/>
    </xf>
    <xf numFmtId="4" fontId="13" fillId="0" borderId="1" xfId="0" applyNumberFormat="1" applyFont="1" applyBorder="1" applyAlignment="1">
      <alignment horizontal="center" vertical="center" wrapText="1"/>
    </xf>
    <xf numFmtId="0" fontId="12" fillId="0" borderId="1" xfId="20" applyFont="1" applyFill="1" applyBorder="1" applyAlignment="1" applyProtection="1">
      <alignment horizontal="center" vertical="center" wrapText="1" shrinkToFit="1"/>
    </xf>
    <xf numFmtId="2" fontId="13" fillId="0" borderId="1" xfId="0" applyNumberFormat="1" applyFont="1" applyBorder="1" applyAlignment="1">
      <alignment horizontal="right" vertical="center" wrapText="1"/>
    </xf>
    <xf numFmtId="1" fontId="12" fillId="0" borderId="2" xfId="0" applyNumberFormat="1" applyFont="1" applyBorder="1" applyAlignment="1">
      <alignment horizontal="right" vertical="center" wrapText="1"/>
    </xf>
    <xf numFmtId="4" fontId="12" fillId="0" borderId="1" xfId="12" applyNumberFormat="1" applyFont="1" applyBorder="1" applyAlignment="1" applyProtection="1">
      <alignment horizontal="left" vertical="center" wrapText="1"/>
      <protection locked="0"/>
    </xf>
    <xf numFmtId="3" fontId="12" fillId="0" borderId="1" xfId="12" applyNumberFormat="1" applyFont="1" applyBorder="1" applyAlignment="1" applyProtection="1">
      <alignment horizontal="right" vertical="center" wrapText="1"/>
      <protection locked="0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13" fillId="0" borderId="1" xfId="0" applyFont="1" applyBorder="1" applyAlignment="1">
      <alignment horizontal="left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 shrinkToFit="1"/>
    </xf>
    <xf numFmtId="3" fontId="12" fillId="0" borderId="1" xfId="0" applyNumberFormat="1" applyFont="1" applyBorder="1" applyAlignment="1">
      <alignment horizontal="right" vertical="center" wrapText="1" shrinkToFit="1"/>
    </xf>
    <xf numFmtId="0" fontId="13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vertical="center" wrapText="1"/>
    </xf>
    <xf numFmtId="3" fontId="14" fillId="3" borderId="1" xfId="0" applyNumberFormat="1" applyFont="1" applyFill="1" applyBorder="1" applyAlignment="1">
      <alignment horizontal="right" vertical="center" wrapText="1"/>
    </xf>
    <xf numFmtId="1" fontId="14" fillId="3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left" vertical="top" wrapText="1"/>
    </xf>
    <xf numFmtId="3" fontId="14" fillId="3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3" fillId="3" borderId="1" xfId="0" applyFont="1" applyFill="1" applyBorder="1" applyAlignment="1">
      <alignment vertical="top" wrapText="1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4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4" fontId="10" fillId="0" borderId="1" xfId="12" applyNumberFormat="1" applyFont="1" applyBorder="1" applyAlignment="1" applyProtection="1">
      <alignment horizontal="right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4" fontId="14" fillId="0" borderId="4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4" fontId="10" fillId="0" borderId="1" xfId="12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3" xfId="0" applyFont="1" applyFill="1" applyBorder="1" applyAlignment="1">
      <alignment horizontal="center" vertical="center" wrapText="1"/>
    </xf>
    <xf numFmtId="167" fontId="13" fillId="3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4" fontId="13" fillId="0" borderId="0" xfId="0" applyNumberFormat="1" applyFont="1" applyAlignment="1">
      <alignment horizontal="center" vertical="center"/>
    </xf>
    <xf numFmtId="0" fontId="13" fillId="0" borderId="1" xfId="3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right" vertical="center"/>
    </xf>
    <xf numFmtId="1" fontId="13" fillId="0" borderId="0" xfId="0" applyNumberFormat="1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vertical="center" wrapText="1"/>
    </xf>
    <xf numFmtId="4" fontId="25" fillId="5" borderId="4" xfId="0" applyNumberFormat="1" applyFont="1" applyFill="1" applyBorder="1" applyAlignment="1">
      <alignment horizontal="center" vertical="center"/>
    </xf>
    <xf numFmtId="3" fontId="25" fillId="5" borderId="1" xfId="0" applyNumberFormat="1" applyFont="1" applyFill="1" applyBorder="1" applyAlignment="1">
      <alignment horizontal="center" vertical="center"/>
    </xf>
    <xf numFmtId="4" fontId="25" fillId="5" borderId="1" xfId="0" applyNumberFormat="1" applyFont="1" applyFill="1" applyBorder="1" applyAlignment="1">
      <alignment horizontal="center" vertical="center"/>
    </xf>
    <xf numFmtId="4" fontId="12" fillId="5" borderId="3" xfId="12" applyNumberFormat="1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>
      <alignment horizontal="center" vertical="center" wrapText="1"/>
    </xf>
    <xf numFmtId="167" fontId="4" fillId="5" borderId="3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12" fillId="5" borderId="1" xfId="0" applyNumberFormat="1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23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4" fontId="3" fillId="5" borderId="3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4" fontId="23" fillId="5" borderId="1" xfId="0" applyNumberFormat="1" applyFont="1" applyFill="1" applyBorder="1" applyAlignment="1">
      <alignment horizontal="center" vertical="center" wrapText="1"/>
    </xf>
    <xf numFmtId="2" fontId="23" fillId="5" borderId="1" xfId="0" applyNumberFormat="1" applyFont="1" applyFill="1" applyBorder="1" applyAlignment="1">
      <alignment horizontal="center" vertical="center"/>
    </xf>
    <xf numFmtId="2" fontId="23" fillId="5" borderId="1" xfId="1" applyNumberFormat="1" applyFont="1" applyFill="1" applyBorder="1" applyAlignment="1">
      <alignment horizontal="center" vertical="center"/>
    </xf>
    <xf numFmtId="167" fontId="23" fillId="5" borderId="1" xfId="1" applyNumberFormat="1" applyFont="1" applyFill="1" applyBorder="1" applyAlignment="1">
      <alignment horizontal="center" vertical="center"/>
    </xf>
    <xf numFmtId="167" fontId="12" fillId="5" borderId="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4" fontId="23" fillId="5" borderId="1" xfId="0" applyNumberFormat="1" applyFont="1" applyFill="1" applyBorder="1" applyAlignment="1">
      <alignment horizontal="center" vertical="center"/>
    </xf>
    <xf numFmtId="167" fontId="25" fillId="5" borderId="1" xfId="0" applyNumberFormat="1" applyFont="1" applyFill="1" applyBorder="1" applyAlignment="1">
      <alignment horizontal="center" vertical="center"/>
    </xf>
    <xf numFmtId="167" fontId="10" fillId="5" borderId="1" xfId="0" applyNumberFormat="1" applyFont="1" applyFill="1" applyBorder="1" applyAlignment="1">
      <alignment horizontal="center" vertical="center"/>
    </xf>
    <xf numFmtId="2" fontId="25" fillId="5" borderId="1" xfId="0" applyNumberFormat="1" applyFont="1" applyFill="1" applyBorder="1" applyAlignment="1">
      <alignment horizontal="center" vertical="center"/>
    </xf>
    <xf numFmtId="167" fontId="25" fillId="5" borderId="1" xfId="1" applyNumberFormat="1" applyFont="1" applyFill="1" applyBorder="1" applyAlignment="1">
      <alignment horizontal="center" vertical="center"/>
    </xf>
    <xf numFmtId="165" fontId="25" fillId="5" borderId="1" xfId="1" applyFont="1" applyFill="1" applyBorder="1" applyAlignment="1">
      <alignment horizontal="center" vertical="center"/>
    </xf>
    <xf numFmtId="167" fontId="10" fillId="5" borderId="1" xfId="12" applyNumberFormat="1" applyFont="1" applyFill="1" applyBorder="1" applyAlignment="1" applyProtection="1">
      <alignment horizontal="center" vertical="center" wrapText="1"/>
      <protection locked="0"/>
    </xf>
    <xf numFmtId="4" fontId="10" fillId="5" borderId="1" xfId="12" applyNumberFormat="1" applyFont="1" applyFill="1" applyBorder="1" applyAlignment="1" applyProtection="1">
      <alignment horizontal="center" vertical="center" wrapText="1"/>
      <protection locked="0"/>
    </xf>
    <xf numFmtId="4" fontId="26" fillId="5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 wrapText="1"/>
    </xf>
    <xf numFmtId="165" fontId="12" fillId="5" borderId="1" xfId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167" fontId="26" fillId="5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167" fontId="13" fillId="3" borderId="1" xfId="1" applyNumberFormat="1" applyFont="1" applyFill="1" applyBorder="1" applyAlignment="1" applyProtection="1">
      <alignment horizontal="center" vertical="center"/>
    </xf>
    <xf numFmtId="165" fontId="13" fillId="3" borderId="1" xfId="1" applyFont="1" applyFill="1" applyBorder="1" applyAlignment="1" applyProtection="1">
      <alignment horizontal="center" vertical="center"/>
    </xf>
    <xf numFmtId="4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167" fontId="12" fillId="3" borderId="1" xfId="0" applyNumberFormat="1" applyFont="1" applyFill="1" applyBorder="1" applyAlignment="1">
      <alignment horizontal="center" vertical="center" wrapText="1"/>
    </xf>
    <xf numFmtId="167" fontId="13" fillId="3" borderId="1" xfId="0" applyNumberFormat="1" applyFont="1" applyFill="1" applyBorder="1" applyAlignment="1">
      <alignment horizontal="center" vertical="center" wrapText="1"/>
    </xf>
    <xf numFmtId="167" fontId="14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67" fontId="14" fillId="3" borderId="1" xfId="1" applyNumberFormat="1" applyFont="1" applyFill="1" applyBorder="1" applyAlignment="1" applyProtection="1">
      <alignment horizontal="center" vertical="center"/>
    </xf>
    <xf numFmtId="3" fontId="14" fillId="3" borderId="1" xfId="1" applyNumberFormat="1" applyFont="1" applyFill="1" applyBorder="1" applyAlignment="1" applyProtection="1">
      <alignment horizontal="center" vertical="center"/>
    </xf>
    <xf numFmtId="165" fontId="14" fillId="3" borderId="1" xfId="1" applyFont="1" applyFill="1" applyBorder="1" applyAlignment="1" applyProtection="1">
      <alignment horizontal="center" vertical="center"/>
    </xf>
    <xf numFmtId="167" fontId="10" fillId="3" borderId="1" xfId="0" applyNumberFormat="1" applyFont="1" applyFill="1" applyBorder="1" applyAlignment="1">
      <alignment horizontal="center" vertical="center" wrapText="1"/>
    </xf>
    <xf numFmtId="167" fontId="14" fillId="3" borderId="1" xfId="0" applyNumberFormat="1" applyFont="1" applyFill="1" applyBorder="1" applyAlignment="1">
      <alignment horizontal="center" vertical="center" wrapText="1"/>
    </xf>
    <xf numFmtId="4" fontId="13" fillId="3" borderId="1" xfId="1" applyNumberFormat="1" applyFont="1" applyFill="1" applyBorder="1" applyAlignment="1" applyProtection="1">
      <alignment horizontal="center" vertical="center"/>
    </xf>
    <xf numFmtId="4" fontId="14" fillId="3" borderId="1" xfId="1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2" fontId="23" fillId="0" borderId="1" xfId="0" applyNumberFormat="1" applyFont="1" applyFill="1" applyBorder="1" applyAlignment="1">
      <alignment horizontal="center" vertical="center" wrapText="1"/>
    </xf>
    <xf numFmtId="4" fontId="10" fillId="5" borderId="1" xfId="12" applyNumberFormat="1" applyFont="1" applyFill="1" applyBorder="1" applyAlignment="1" applyProtection="1">
      <alignment horizontal="center" vertical="top" wrapText="1"/>
      <protection locked="0"/>
    </xf>
    <xf numFmtId="167" fontId="26" fillId="5" borderId="1" xfId="0" applyNumberFormat="1" applyFont="1" applyFill="1" applyBorder="1" applyAlignment="1">
      <alignment horizontal="center"/>
    </xf>
    <xf numFmtId="3" fontId="12" fillId="0" borderId="4" xfId="12" applyNumberFormat="1" applyFont="1" applyFill="1" applyBorder="1" applyAlignment="1" applyProtection="1">
      <alignment horizontal="center" vertical="center" wrapText="1"/>
      <protection locked="0"/>
    </xf>
    <xf numFmtId="3" fontId="12" fillId="0" borderId="1" xfId="12" applyNumberFormat="1" applyFont="1" applyFill="1" applyBorder="1" applyAlignment="1" applyProtection="1">
      <alignment horizontal="center" vertical="center" wrapText="1"/>
      <protection locked="0"/>
    </xf>
    <xf numFmtId="4" fontId="23" fillId="5" borderId="1" xfId="1" applyNumberFormat="1" applyFont="1" applyFill="1" applyBorder="1" applyAlignment="1">
      <alignment horizontal="center" vertical="center"/>
    </xf>
    <xf numFmtId="4" fontId="25" fillId="5" borderId="1" xfId="1" applyNumberFormat="1" applyFont="1" applyFill="1" applyBorder="1" applyAlignment="1">
      <alignment horizontal="center" vertical="center"/>
    </xf>
    <xf numFmtId="2" fontId="25" fillId="5" borderId="1" xfId="1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 wrapText="1"/>
    </xf>
    <xf numFmtId="165" fontId="23" fillId="5" borderId="1" xfId="1" applyNumberFormat="1" applyFont="1" applyFill="1" applyBorder="1" applyAlignment="1">
      <alignment horizontal="center" vertical="center"/>
    </xf>
    <xf numFmtId="165" fontId="23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167" fontId="2" fillId="5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23" fillId="5" borderId="1" xfId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67" fontId="23" fillId="0" borderId="1" xfId="1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7" fontId="23" fillId="5" borderId="1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167" fontId="1" fillId="5" borderId="3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center" wrapText="1"/>
    </xf>
    <xf numFmtId="167" fontId="12" fillId="5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" fontId="23" fillId="5" borderId="3" xfId="1" applyNumberFormat="1" applyFont="1" applyFill="1" applyBorder="1" applyAlignment="1">
      <alignment horizontal="center" vertical="center"/>
    </xf>
    <xf numFmtId="4" fontId="23" fillId="5" borderId="3" xfId="0" applyNumberFormat="1" applyFont="1" applyFill="1" applyBorder="1" applyAlignment="1">
      <alignment horizontal="center" vertical="center"/>
    </xf>
    <xf numFmtId="167" fontId="23" fillId="5" borderId="3" xfId="1" applyNumberFormat="1" applyFont="1" applyFill="1" applyBorder="1" applyAlignment="1">
      <alignment horizontal="center" vertical="center"/>
    </xf>
    <xf numFmtId="4" fontId="23" fillId="5" borderId="3" xfId="0" applyNumberFormat="1" applyFont="1" applyFill="1" applyBorder="1" applyAlignment="1">
      <alignment horizontal="center" vertical="center" wrapText="1"/>
    </xf>
    <xf numFmtId="2" fontId="23" fillId="5" borderId="3" xfId="0" applyNumberFormat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8" fillId="0" borderId="0" xfId="0" applyFont="1" applyAlignment="1">
      <alignment horizontal="justify" vertical="center"/>
    </xf>
    <xf numFmtId="0" fontId="28" fillId="0" borderId="0" xfId="0" applyFont="1"/>
    <xf numFmtId="0" fontId="13" fillId="0" borderId="0" xfId="0" applyFont="1" applyAlignment="1">
      <alignment horizontal="left" vertical="center" wrapText="1"/>
    </xf>
    <xf numFmtId="0" fontId="12" fillId="5" borderId="1" xfId="0" applyNumberFormat="1" applyFont="1" applyFill="1" applyBorder="1" applyAlignment="1">
      <alignment horizontal="left" vertical="center" wrapText="1"/>
    </xf>
    <xf numFmtId="0" fontId="12" fillId="5" borderId="3" xfId="0" applyNumberFormat="1" applyFont="1" applyFill="1" applyBorder="1" applyAlignment="1">
      <alignment horizontal="left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left" vertical="center" wrapText="1"/>
    </xf>
    <xf numFmtId="167" fontId="12" fillId="0" borderId="2" xfId="3" applyNumberFormat="1" applyFont="1" applyFill="1" applyBorder="1" applyAlignment="1">
      <alignment horizontal="center" vertical="center" wrapText="1"/>
    </xf>
    <xf numFmtId="167" fontId="12" fillId="5" borderId="2" xfId="3" applyNumberFormat="1" applyFont="1" applyFill="1" applyBorder="1" applyAlignment="1">
      <alignment horizontal="center" vertical="center" wrapText="1"/>
    </xf>
    <xf numFmtId="170" fontId="23" fillId="5" borderId="1" xfId="1" applyNumberFormat="1" applyFont="1" applyFill="1" applyBorder="1" applyAlignment="1">
      <alignment horizontal="center" vertical="center"/>
    </xf>
    <xf numFmtId="168" fontId="12" fillId="0" borderId="2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68" fontId="23" fillId="0" borderId="1" xfId="3" applyNumberFormat="1" applyFont="1" applyFill="1" applyBorder="1" applyAlignment="1">
      <alignment horizontal="center" vertical="center" wrapText="1"/>
    </xf>
    <xf numFmtId="168" fontId="23" fillId="5" borderId="1" xfId="0" applyNumberFormat="1" applyFont="1" applyFill="1" applyBorder="1" applyAlignment="1">
      <alignment horizontal="center" vertical="center" wrapText="1"/>
    </xf>
    <xf numFmtId="168" fontId="23" fillId="5" borderId="3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170" fontId="23" fillId="5" borderId="3" xfId="1" applyNumberFormat="1" applyFont="1" applyFill="1" applyBorder="1" applyAlignment="1">
      <alignment horizontal="center" vertical="center"/>
    </xf>
    <xf numFmtId="168" fontId="12" fillId="5" borderId="3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170" fontId="25" fillId="5" borderId="1" xfId="0" applyNumberFormat="1" applyFont="1" applyFill="1" applyBorder="1" applyAlignment="1">
      <alignment horizontal="center" vertical="center"/>
    </xf>
    <xf numFmtId="168" fontId="25" fillId="5" borderId="1" xfId="0" applyNumberFormat="1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 wrapText="1"/>
    </xf>
    <xf numFmtId="168" fontId="23" fillId="5" borderId="3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70" fontId="25" fillId="5" borderId="1" xfId="1" applyNumberFormat="1" applyFont="1" applyFill="1" applyBorder="1" applyAlignment="1">
      <alignment horizontal="center" vertical="center"/>
    </xf>
    <xf numFmtId="168" fontId="25" fillId="5" borderId="1" xfId="1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" fontId="31" fillId="0" borderId="5" xfId="0" applyNumberFormat="1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1" fontId="31" fillId="0" borderId="0" xfId="0" applyNumberFormat="1" applyFont="1" applyAlignment="1">
      <alignment horizontal="right" vertical="center"/>
    </xf>
    <xf numFmtId="4" fontId="31" fillId="0" borderId="0" xfId="0" applyNumberFormat="1" applyFont="1" applyAlignment="1">
      <alignment horizontal="right" vertic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3" fillId="0" borderId="6" xfId="0" applyNumberFormat="1" applyFont="1" applyFill="1" applyBorder="1" applyAlignment="1">
      <alignment horizontal="center" vertical="center" wrapText="1"/>
    </xf>
    <xf numFmtId="2" fontId="23" fillId="0" borderId="2" xfId="0" applyNumberFormat="1" applyFont="1" applyFill="1" applyBorder="1" applyAlignment="1">
      <alignment horizontal="center" vertical="center" wrapText="1"/>
    </xf>
    <xf numFmtId="2" fontId="23" fillId="0" borderId="6" xfId="0" applyNumberFormat="1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 wrapText="1"/>
    </xf>
    <xf numFmtId="167" fontId="23" fillId="0" borderId="2" xfId="0" applyNumberFormat="1" applyFont="1" applyFill="1" applyBorder="1" applyAlignment="1">
      <alignment horizontal="center" vertical="center" wrapText="1"/>
    </xf>
    <xf numFmtId="167" fontId="23" fillId="0" borderId="6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center" vertical="center" wrapText="1"/>
    </xf>
    <xf numFmtId="4" fontId="12" fillId="5" borderId="6" xfId="0" applyNumberFormat="1" applyFont="1" applyFill="1" applyBorder="1" applyAlignment="1">
      <alignment horizontal="center" vertical="center" wrapText="1"/>
    </xf>
    <xf numFmtId="4" fontId="12" fillId="5" borderId="3" xfId="0" applyNumberFormat="1" applyFont="1" applyFill="1" applyBorder="1" applyAlignment="1">
      <alignment horizontal="center" vertical="center" wrapText="1"/>
    </xf>
    <xf numFmtId="167" fontId="12" fillId="5" borderId="2" xfId="0" applyNumberFormat="1" applyFont="1" applyFill="1" applyBorder="1" applyAlignment="1">
      <alignment horizontal="center" vertical="center" wrapText="1"/>
    </xf>
    <xf numFmtId="167" fontId="12" fillId="5" borderId="3" xfId="0" applyNumberFormat="1" applyFont="1" applyFill="1" applyBorder="1" applyAlignment="1">
      <alignment horizontal="center" vertical="center" wrapText="1"/>
    </xf>
    <xf numFmtId="2" fontId="13" fillId="3" borderId="2" xfId="0" applyNumberFormat="1" applyFont="1" applyFill="1" applyBorder="1" applyAlignment="1">
      <alignment horizontal="center" vertical="center"/>
    </xf>
    <xf numFmtId="2" fontId="13" fillId="3" borderId="6" xfId="0" applyNumberFormat="1" applyFont="1" applyFill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/>
    </xf>
    <xf numFmtId="167" fontId="12" fillId="5" borderId="2" xfId="0" applyNumberFormat="1" applyFont="1" applyFill="1" applyBorder="1" applyAlignment="1">
      <alignment horizontal="center" vertical="center"/>
    </xf>
    <xf numFmtId="167" fontId="12" fillId="5" borderId="6" xfId="0" applyNumberFormat="1" applyFont="1" applyFill="1" applyBorder="1" applyAlignment="1">
      <alignment horizontal="center" vertical="center"/>
    </xf>
    <xf numFmtId="167" fontId="12" fillId="5" borderId="3" xfId="0" applyNumberFormat="1" applyFont="1" applyFill="1" applyBorder="1" applyAlignment="1">
      <alignment horizontal="center" vertical="center"/>
    </xf>
    <xf numFmtId="167" fontId="12" fillId="5" borderId="6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" fontId="23" fillId="5" borderId="2" xfId="1" applyNumberFormat="1" applyFont="1" applyFill="1" applyBorder="1" applyAlignment="1">
      <alignment horizontal="center" vertical="center"/>
    </xf>
    <xf numFmtId="4" fontId="23" fillId="5" borderId="6" xfId="1" applyNumberFormat="1" applyFont="1" applyFill="1" applyBorder="1" applyAlignment="1">
      <alignment horizontal="center" vertical="center"/>
    </xf>
    <xf numFmtId="4" fontId="23" fillId="5" borderId="3" xfId="1" applyNumberFormat="1" applyFont="1" applyFill="1" applyBorder="1" applyAlignment="1">
      <alignment horizontal="center" vertical="center"/>
    </xf>
    <xf numFmtId="2" fontId="23" fillId="5" borderId="2" xfId="1" applyNumberFormat="1" applyFont="1" applyFill="1" applyBorder="1" applyAlignment="1">
      <alignment horizontal="center" vertical="center"/>
    </xf>
    <xf numFmtId="2" fontId="23" fillId="5" borderId="3" xfId="1" applyNumberFormat="1" applyFont="1" applyFill="1" applyBorder="1" applyAlignment="1">
      <alignment horizontal="center" vertical="center"/>
    </xf>
    <xf numFmtId="4" fontId="23" fillId="5" borderId="2" xfId="0" applyNumberFormat="1" applyFont="1" applyFill="1" applyBorder="1" applyAlignment="1">
      <alignment horizontal="center" vertical="center"/>
    </xf>
    <xf numFmtId="4" fontId="23" fillId="5" borderId="3" xfId="0" applyNumberFormat="1" applyFont="1" applyFill="1" applyBorder="1" applyAlignment="1">
      <alignment horizontal="center" vertical="center"/>
    </xf>
    <xf numFmtId="2" fontId="23" fillId="5" borderId="6" xfId="1" applyNumberFormat="1" applyFont="1" applyFill="1" applyBorder="1" applyAlignment="1">
      <alignment horizontal="center" vertical="center"/>
    </xf>
    <xf numFmtId="2" fontId="23" fillId="0" borderId="3" xfId="0" applyNumberFormat="1" applyFont="1" applyFill="1" applyBorder="1" applyAlignment="1">
      <alignment horizontal="center" vertical="center" wrapText="1"/>
    </xf>
    <xf numFmtId="4" fontId="23" fillId="5" borderId="6" xfId="0" applyNumberFormat="1" applyFont="1" applyFill="1" applyBorder="1" applyAlignment="1">
      <alignment horizontal="center" vertical="center"/>
    </xf>
    <xf numFmtId="167" fontId="23" fillId="5" borderId="2" xfId="1" applyNumberFormat="1" applyFont="1" applyFill="1" applyBorder="1" applyAlignment="1">
      <alignment horizontal="center" vertical="center"/>
    </xf>
    <xf numFmtId="167" fontId="23" fillId="5" borderId="6" xfId="1" applyNumberFormat="1" applyFont="1" applyFill="1" applyBorder="1" applyAlignment="1">
      <alignment horizontal="center" vertical="center"/>
    </xf>
    <xf numFmtId="167" fontId="23" fillId="5" borderId="3" xfId="1" applyNumberFormat="1" applyFont="1" applyFill="1" applyBorder="1" applyAlignment="1">
      <alignment horizontal="center" vertical="center"/>
    </xf>
    <xf numFmtId="4" fontId="23" fillId="5" borderId="2" xfId="0" applyNumberFormat="1" applyFont="1" applyFill="1" applyBorder="1" applyAlignment="1">
      <alignment horizontal="center" vertical="center" wrapText="1"/>
    </xf>
    <xf numFmtId="4" fontId="23" fillId="5" borderId="6" xfId="0" applyNumberFormat="1" applyFont="1" applyFill="1" applyBorder="1" applyAlignment="1">
      <alignment horizontal="center" vertical="center" wrapText="1"/>
    </xf>
    <xf numFmtId="4" fontId="23" fillId="5" borderId="3" xfId="0" applyNumberFormat="1" applyFont="1" applyFill="1" applyBorder="1" applyAlignment="1">
      <alignment horizontal="center" vertical="center" wrapText="1"/>
    </xf>
    <xf numFmtId="2" fontId="23" fillId="5" borderId="2" xfId="0" applyNumberFormat="1" applyFont="1" applyFill="1" applyBorder="1" applyAlignment="1">
      <alignment horizontal="center" vertical="center"/>
    </xf>
    <xf numFmtId="2" fontId="23" fillId="5" borderId="6" xfId="0" applyNumberFormat="1" applyFont="1" applyFill="1" applyBorder="1" applyAlignment="1">
      <alignment horizontal="center" vertical="center"/>
    </xf>
    <xf numFmtId="2" fontId="23" fillId="5" borderId="3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23" fillId="5" borderId="2" xfId="1" applyFont="1" applyFill="1" applyBorder="1" applyAlignment="1">
      <alignment horizontal="center" vertical="center"/>
    </xf>
    <xf numFmtId="165" fontId="23" fillId="5" borderId="6" xfId="1" applyFont="1" applyFill="1" applyBorder="1" applyAlignment="1">
      <alignment horizontal="center" vertical="center"/>
    </xf>
    <xf numFmtId="165" fontId="23" fillId="5" borderId="3" xfId="1" applyFont="1" applyFill="1" applyBorder="1" applyAlignment="1">
      <alignment horizontal="center" vertical="center"/>
    </xf>
    <xf numFmtId="167" fontId="23" fillId="5" borderId="2" xfId="0" applyNumberFormat="1" applyFont="1" applyFill="1" applyBorder="1" applyAlignment="1">
      <alignment horizontal="center" vertical="center"/>
    </xf>
    <xf numFmtId="167" fontId="23" fillId="5" borderId="6" xfId="0" applyNumberFormat="1" applyFont="1" applyFill="1" applyBorder="1" applyAlignment="1">
      <alignment horizontal="center" vertical="center"/>
    </xf>
    <xf numFmtId="167" fontId="23" fillId="5" borderId="3" xfId="0" applyNumberFormat="1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>
      <alignment horizontal="left" vertical="center" wrapText="1"/>
    </xf>
    <xf numFmtId="0" fontId="12" fillId="5" borderId="6" xfId="0" applyNumberFormat="1" applyFont="1" applyFill="1" applyBorder="1" applyAlignment="1">
      <alignment horizontal="left" vertical="center" wrapText="1"/>
    </xf>
    <xf numFmtId="0" fontId="12" fillId="5" borderId="3" xfId="0" applyNumberFormat="1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170" fontId="23" fillId="5" borderId="2" xfId="1" applyNumberFormat="1" applyFont="1" applyFill="1" applyBorder="1" applyAlignment="1">
      <alignment horizontal="center" vertical="center"/>
    </xf>
    <xf numFmtId="170" fontId="23" fillId="5" borderId="6" xfId="1" applyNumberFormat="1" applyFont="1" applyFill="1" applyBorder="1" applyAlignment="1">
      <alignment horizontal="center" vertical="center"/>
    </xf>
    <xf numFmtId="170" fontId="23" fillId="5" borderId="3" xfId="1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8" fontId="12" fillId="5" borderId="2" xfId="0" applyNumberFormat="1" applyFont="1" applyFill="1" applyBorder="1" applyAlignment="1">
      <alignment horizontal="center" vertical="center" wrapText="1"/>
    </xf>
    <xf numFmtId="168" fontId="12" fillId="5" borderId="6" xfId="0" applyNumberFormat="1" applyFont="1" applyFill="1" applyBorder="1" applyAlignment="1">
      <alignment horizontal="center" vertical="center" wrapText="1"/>
    </xf>
    <xf numFmtId="168" fontId="12" fillId="5" borderId="3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70" fontId="23" fillId="0" borderId="3" xfId="0" applyNumberFormat="1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center" vertical="center"/>
    </xf>
    <xf numFmtId="168" fontId="23" fillId="0" borderId="3" xfId="0" applyNumberFormat="1" applyFont="1" applyBorder="1" applyAlignment="1">
      <alignment horizontal="center" vertical="center" wrapText="1"/>
    </xf>
    <xf numFmtId="167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/>
    </xf>
    <xf numFmtId="2" fontId="23" fillId="0" borderId="3" xfId="0" applyNumberFormat="1" applyFont="1" applyBorder="1" applyAlignment="1">
      <alignment horizontal="center" vertical="center"/>
    </xf>
    <xf numFmtId="4" fontId="12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2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3" borderId="1" xfId="0" applyNumberFormat="1" applyFont="1" applyFill="1" applyBorder="1" applyAlignment="1">
      <alignment horizontal="right" vertical="center"/>
    </xf>
    <xf numFmtId="4" fontId="12" fillId="3" borderId="1" xfId="12" applyNumberFormat="1" applyFont="1" applyFill="1" applyBorder="1" applyAlignment="1" applyProtection="1">
      <alignment horizontal="left" vertical="center" wrapText="1"/>
      <protection locked="0"/>
    </xf>
    <xf numFmtId="4" fontId="12" fillId="3" borderId="1" xfId="12" applyNumberFormat="1" applyFont="1" applyFill="1" applyBorder="1" applyAlignment="1" applyProtection="1">
      <alignment horizontal="right" vertical="center" wrapText="1"/>
      <protection locked="0"/>
    </xf>
    <xf numFmtId="0" fontId="13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top" wrapText="1"/>
    </xf>
    <xf numFmtId="4" fontId="9" fillId="0" borderId="0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</cellXfs>
  <cellStyles count="21">
    <cellStyle name="Excel Built-in Bad" xfId="20"/>
    <cellStyle name="Денежный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3" xfId="9"/>
    <cellStyle name="Обычный 3 2" xfId="10"/>
    <cellStyle name="Обычный 3 3" xfId="11"/>
    <cellStyle name="Обычный 4" xfId="12"/>
    <cellStyle name="Обычный 5" xfId="13"/>
    <cellStyle name="Обычный 6" xfId="14"/>
    <cellStyle name="Обычный 7" xfId="15"/>
    <cellStyle name="Финансовый" xfId="1" builtinId="3"/>
    <cellStyle name="Финансовый 2" xfId="16"/>
    <cellStyle name="Финансовый 2 2" xfId="17"/>
    <cellStyle name="Финансовый 2 3" xfId="18"/>
    <cellStyle name="Финансовый 3" xfId="19"/>
  </cellStyles>
  <dxfs count="0"/>
  <tableStyles count="0" defaultTableStyle="TableStyleMedium2" defaultPivotStyle="PivotStyleLight16"/>
  <colors>
    <indexedColors>
      <rgbColor rgb="FF000000"/>
      <rgbColor rgb="FFFFFFFF"/>
      <rgbColor rgb="FFEA157A"/>
      <rgbColor rgb="FF00FF00"/>
      <rgbColor rgb="FF0000FF"/>
      <rgbColor rgb="FFFFFF00"/>
      <rgbColor rgb="FFFF00FF"/>
      <rgbColor rgb="FF00FFFF"/>
      <rgbColor rgb="FF9C0006"/>
      <rgbColor rgb="FF3F6D19"/>
      <rgbColor rgb="FF000080"/>
      <rgbColor rgb="FF808000"/>
      <rgbColor rgb="FF800080"/>
      <rgbColor rgb="FF008080"/>
      <rgbColor rgb="FFC0C0C0"/>
      <rgbColor rgb="FF738AC8"/>
      <rgbColor rgb="FF9999FF"/>
      <rgbColor rgb="FF993366"/>
      <rgbColor rgb="FFFFFFCC"/>
      <rgbColor rgb="FFD6ECFF"/>
      <rgbColor rgb="FF660066"/>
      <rgbColor rgb="FFFF8080"/>
      <rgbColor rgb="FF0066CC"/>
      <rgbColor rgb="FFD9DE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DDC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7FD13B"/>
      <rgbColor rgb="FFFEB80A"/>
      <rgbColor rgb="FFFF9900"/>
      <rgbColor rgb="FFFF6600"/>
      <rgbColor rgb="FF4E5B6F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ECFF"/>
    <pageSetUpPr fitToPage="1"/>
  </sheetPr>
  <dimension ref="A1:AI21"/>
  <sheetViews>
    <sheetView view="pageBreakPreview" zoomScale="85" zoomScaleNormal="70" zoomScalePageLayoutView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19" sqref="A19:F19"/>
    </sheetView>
  </sheetViews>
  <sheetFormatPr defaultRowHeight="15" x14ac:dyDescent="0.25"/>
  <cols>
    <col min="1" max="1" width="13.7109375" style="1" customWidth="1"/>
    <col min="2" max="2" width="18.42578125" style="199" customWidth="1"/>
    <col min="3" max="3" width="15.85546875" style="199" customWidth="1"/>
    <col min="4" max="4" width="8.42578125" style="208" customWidth="1"/>
    <col min="5" max="5" width="10.5703125" style="202" customWidth="1"/>
    <col min="6" max="6" width="13.7109375" style="199" customWidth="1"/>
    <col min="7" max="7" width="11.7109375" style="199" customWidth="1"/>
    <col min="8" max="8" width="14.7109375" style="199" customWidth="1"/>
    <col min="9" max="10" width="11.85546875" style="199" customWidth="1"/>
    <col min="11" max="11" width="12.140625" style="199" customWidth="1"/>
    <col min="12" max="12" width="11.85546875" style="199" bestFit="1" customWidth="1"/>
    <col min="13" max="13" width="7.42578125" style="199" bestFit="1" customWidth="1"/>
    <col min="14" max="14" width="6.42578125" style="199" bestFit="1" customWidth="1"/>
    <col min="15" max="16" width="13.85546875" style="199" customWidth="1"/>
    <col min="17" max="17" width="14.5703125" style="199" customWidth="1"/>
    <col min="18" max="19" width="11.7109375" style="210" customWidth="1"/>
    <col min="20" max="21" width="11.85546875" style="199" customWidth="1"/>
    <col min="22" max="22" width="11.85546875" style="199" bestFit="1" customWidth="1"/>
    <col min="23" max="23" width="7.42578125" style="199" bestFit="1" customWidth="1"/>
    <col min="24" max="24" width="6.42578125" style="199" bestFit="1" customWidth="1"/>
    <col min="25" max="25" width="13.7109375" style="205" bestFit="1" customWidth="1"/>
    <col min="26" max="26" width="12.140625" style="205" bestFit="1" customWidth="1"/>
    <col min="27" max="27" width="15" style="199" customWidth="1"/>
    <col min="28" max="28" width="11.140625" style="199" bestFit="1" customWidth="1"/>
    <col min="29" max="29" width="11.7109375" style="199" bestFit="1" customWidth="1"/>
    <col min="30" max="31" width="13.28515625" style="199" customWidth="1"/>
    <col min="32" max="34" width="12.7109375" style="199" customWidth="1"/>
    <col min="35" max="35" width="11.85546875" style="199" bestFit="1" customWidth="1"/>
    <col min="36" max="1025" width="8.85546875" style="199" customWidth="1"/>
    <col min="1026" max="16384" width="9.140625" style="199"/>
  </cols>
  <sheetData>
    <row r="1" spans="1:35" s="337" customFormat="1" ht="32.1" customHeight="1" x14ac:dyDescent="0.25">
      <c r="A1" s="347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</row>
    <row r="2" spans="1:35" ht="20.25" x14ac:dyDescent="0.25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</row>
    <row r="3" spans="1:35" ht="29.25" customHeight="1" x14ac:dyDescent="0.25">
      <c r="A3" s="348" t="s">
        <v>1</v>
      </c>
      <c r="B3" s="348" t="s">
        <v>2</v>
      </c>
      <c r="C3" s="348" t="s">
        <v>3</v>
      </c>
      <c r="D3" s="348" t="s">
        <v>4</v>
      </c>
      <c r="E3" s="348" t="s">
        <v>5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9" t="s">
        <v>6</v>
      </c>
      <c r="Z3" s="349"/>
      <c r="AA3" s="349"/>
      <c r="AB3" s="349"/>
      <c r="AC3" s="349"/>
      <c r="AD3" s="348" t="s">
        <v>7</v>
      </c>
      <c r="AE3" s="348" t="s">
        <v>8</v>
      </c>
      <c r="AF3" s="348" t="s">
        <v>9</v>
      </c>
      <c r="AG3" s="348"/>
      <c r="AH3" s="348"/>
      <c r="AI3" s="348"/>
    </row>
    <row r="4" spans="1:35" ht="17.649999999999999" customHeight="1" x14ac:dyDescent="0.25">
      <c r="A4" s="348"/>
      <c r="B4" s="348"/>
      <c r="C4" s="348"/>
      <c r="D4" s="348"/>
      <c r="E4" s="350" t="s">
        <v>10</v>
      </c>
      <c r="F4" s="350"/>
      <c r="G4" s="350"/>
      <c r="H4" s="350"/>
      <c r="I4" s="350"/>
      <c r="J4" s="350"/>
      <c r="K4" s="350"/>
      <c r="L4" s="350"/>
      <c r="M4" s="350"/>
      <c r="N4" s="350"/>
      <c r="O4" s="351" t="s">
        <v>11</v>
      </c>
      <c r="P4" s="351"/>
      <c r="Q4" s="351"/>
      <c r="R4" s="351"/>
      <c r="S4" s="351"/>
      <c r="T4" s="351"/>
      <c r="U4" s="351"/>
      <c r="V4" s="351"/>
      <c r="W4" s="351"/>
      <c r="X4" s="351"/>
      <c r="Y4" s="346" t="s">
        <v>12</v>
      </c>
      <c r="Z4" s="346" t="s">
        <v>13</v>
      </c>
      <c r="AA4" s="346" t="s">
        <v>14</v>
      </c>
      <c r="AB4" s="346" t="s">
        <v>15</v>
      </c>
      <c r="AC4" s="346"/>
      <c r="AD4" s="348"/>
      <c r="AE4" s="348"/>
      <c r="AF4" s="348"/>
      <c r="AG4" s="348"/>
      <c r="AH4" s="348"/>
      <c r="AI4" s="348"/>
    </row>
    <row r="5" spans="1:35" ht="108" customHeight="1" x14ac:dyDescent="0.25">
      <c r="A5" s="348"/>
      <c r="B5" s="348"/>
      <c r="C5" s="348"/>
      <c r="D5" s="348"/>
      <c r="E5" s="346" t="s">
        <v>16</v>
      </c>
      <c r="F5" s="346" t="s">
        <v>17</v>
      </c>
      <c r="G5" s="346" t="s">
        <v>18</v>
      </c>
      <c r="H5" s="346" t="s">
        <v>19</v>
      </c>
      <c r="I5" s="346" t="s">
        <v>20</v>
      </c>
      <c r="J5" s="346"/>
      <c r="K5" s="346" t="s">
        <v>21</v>
      </c>
      <c r="L5" s="346" t="s">
        <v>22</v>
      </c>
      <c r="M5" s="346" t="s">
        <v>23</v>
      </c>
      <c r="N5" s="346"/>
      <c r="O5" s="346" t="s">
        <v>24</v>
      </c>
      <c r="P5" s="346" t="s">
        <v>25</v>
      </c>
      <c r="Q5" s="346" t="s">
        <v>26</v>
      </c>
      <c r="R5" s="346" t="s">
        <v>27</v>
      </c>
      <c r="S5" s="346"/>
      <c r="T5" s="346" t="s">
        <v>307</v>
      </c>
      <c r="U5" s="346" t="s">
        <v>28</v>
      </c>
      <c r="V5" s="346" t="s">
        <v>29</v>
      </c>
      <c r="W5" s="346" t="s">
        <v>23</v>
      </c>
      <c r="X5" s="346"/>
      <c r="Y5" s="346"/>
      <c r="Z5" s="346"/>
      <c r="AA5" s="346"/>
      <c r="AB5" s="346"/>
      <c r="AC5" s="346"/>
      <c r="AD5" s="348"/>
      <c r="AE5" s="348"/>
      <c r="AF5" s="348"/>
      <c r="AG5" s="348"/>
      <c r="AH5" s="348"/>
      <c r="AI5" s="348"/>
    </row>
    <row r="6" spans="1:35" ht="91.5" customHeight="1" x14ac:dyDescent="0.25">
      <c r="A6" s="348"/>
      <c r="B6" s="348"/>
      <c r="C6" s="348"/>
      <c r="D6" s="348"/>
      <c r="E6" s="346"/>
      <c r="F6" s="346"/>
      <c r="G6" s="346"/>
      <c r="H6" s="346"/>
      <c r="I6" s="10" t="s">
        <v>30</v>
      </c>
      <c r="J6" s="11" t="s">
        <v>31</v>
      </c>
      <c r="K6" s="346"/>
      <c r="L6" s="346"/>
      <c r="M6" s="10" t="s">
        <v>32</v>
      </c>
      <c r="N6" s="11" t="s">
        <v>33</v>
      </c>
      <c r="O6" s="346"/>
      <c r="P6" s="346"/>
      <c r="Q6" s="346"/>
      <c r="R6" s="10" t="s">
        <v>34</v>
      </c>
      <c r="S6" s="11" t="s">
        <v>31</v>
      </c>
      <c r="T6" s="346"/>
      <c r="U6" s="346"/>
      <c r="V6" s="346"/>
      <c r="W6" s="10" t="s">
        <v>32</v>
      </c>
      <c r="X6" s="11" t="s">
        <v>33</v>
      </c>
      <c r="Y6" s="346"/>
      <c r="Z6" s="346"/>
      <c r="AA6" s="346"/>
      <c r="AB6" s="12" t="s">
        <v>30</v>
      </c>
      <c r="AC6" s="12" t="s">
        <v>31</v>
      </c>
      <c r="AD6" s="348"/>
      <c r="AE6" s="348"/>
      <c r="AF6" s="12" t="s">
        <v>35</v>
      </c>
      <c r="AG6" s="12" t="s">
        <v>36</v>
      </c>
      <c r="AH6" s="12" t="s">
        <v>37</v>
      </c>
      <c r="AI6" s="12" t="s">
        <v>38</v>
      </c>
    </row>
    <row r="7" spans="1:35" x14ac:dyDescent="0.25">
      <c r="A7" s="211">
        <v>1</v>
      </c>
      <c r="B7" s="211">
        <v>2</v>
      </c>
      <c r="C7" s="211">
        <v>3</v>
      </c>
      <c r="D7" s="211">
        <v>4</v>
      </c>
      <c r="E7" s="211">
        <v>5</v>
      </c>
      <c r="F7" s="211" t="s">
        <v>39</v>
      </c>
      <c r="G7" s="211">
        <v>7</v>
      </c>
      <c r="H7" s="211">
        <v>8</v>
      </c>
      <c r="I7" s="211">
        <v>9</v>
      </c>
      <c r="J7" s="211">
        <v>10</v>
      </c>
      <c r="K7" s="211">
        <v>11</v>
      </c>
      <c r="L7" s="211">
        <v>12</v>
      </c>
      <c r="M7" s="211">
        <v>13</v>
      </c>
      <c r="N7" s="211">
        <v>14</v>
      </c>
      <c r="O7" s="211">
        <v>15</v>
      </c>
      <c r="P7" s="211">
        <v>16</v>
      </c>
      <c r="Q7" s="211">
        <v>17</v>
      </c>
      <c r="R7" s="211">
        <v>18</v>
      </c>
      <c r="S7" s="211">
        <v>19</v>
      </c>
      <c r="T7" s="211">
        <v>20</v>
      </c>
      <c r="U7" s="211">
        <v>21</v>
      </c>
      <c r="V7" s="211">
        <v>22</v>
      </c>
      <c r="W7" s="211">
        <v>23</v>
      </c>
      <c r="X7" s="211">
        <v>24</v>
      </c>
      <c r="Y7" s="211">
        <v>25</v>
      </c>
      <c r="Z7" s="211">
        <v>26</v>
      </c>
      <c r="AA7" s="211">
        <v>27</v>
      </c>
      <c r="AB7" s="211">
        <v>28</v>
      </c>
      <c r="AC7" s="211">
        <v>29</v>
      </c>
      <c r="AD7" s="211">
        <v>30</v>
      </c>
      <c r="AE7" s="211">
        <v>31</v>
      </c>
      <c r="AF7" s="211">
        <v>32</v>
      </c>
      <c r="AG7" s="211">
        <v>33</v>
      </c>
      <c r="AH7" s="211">
        <v>34</v>
      </c>
      <c r="AI7" s="206">
        <v>35</v>
      </c>
    </row>
    <row r="8" spans="1:35" ht="43.5" customHeight="1" x14ac:dyDescent="0.25">
      <c r="A8" s="212">
        <v>706</v>
      </c>
      <c r="B8" s="312" t="s">
        <v>40</v>
      </c>
      <c r="C8" s="16" t="s">
        <v>41</v>
      </c>
      <c r="D8" s="17">
        <v>1</v>
      </c>
      <c r="E8" s="212" t="s">
        <v>42</v>
      </c>
      <c r="F8" s="257">
        <v>1088</v>
      </c>
      <c r="G8" s="257">
        <v>1088</v>
      </c>
      <c r="H8" s="73">
        <f>(G8-F8)/F8*100</f>
        <v>0</v>
      </c>
      <c r="I8" s="257"/>
      <c r="J8" s="257"/>
      <c r="K8" s="257">
        <v>1095</v>
      </c>
      <c r="L8" s="258">
        <f>K8/G8*100</f>
        <v>100.64338235294117</v>
      </c>
      <c r="M8" s="257"/>
      <c r="N8" s="257"/>
      <c r="O8" s="259">
        <v>11313</v>
      </c>
      <c r="P8" s="259">
        <v>11315</v>
      </c>
      <c r="Q8" s="57">
        <f>(P8-O8)/O8*100</f>
        <v>1.7678776628657297E-2</v>
      </c>
      <c r="R8" s="257"/>
      <c r="S8" s="257"/>
      <c r="T8" s="259">
        <v>10684.59066</v>
      </c>
      <c r="U8" s="259">
        <v>10180.035320000001</v>
      </c>
      <c r="V8" s="271">
        <f>T8/P8*100</f>
        <v>94.428552010605387</v>
      </c>
      <c r="W8" s="257"/>
      <c r="X8" s="257"/>
      <c r="Y8" s="260">
        <f>O8/F8*1000</f>
        <v>10397.97794117647</v>
      </c>
      <c r="Z8" s="260">
        <f>P8/G8*1000</f>
        <v>10399.816176470589</v>
      </c>
      <c r="AA8" s="57">
        <f>(Z8-Y8)/Y8*100</f>
        <v>1.7678776628669644E-2</v>
      </c>
      <c r="AB8" s="257"/>
      <c r="AC8" s="257"/>
      <c r="AD8" s="261">
        <f>T8-U8</f>
        <v>504.55533999999898</v>
      </c>
      <c r="AE8" s="262"/>
      <c r="AF8" s="257" t="s">
        <v>42</v>
      </c>
      <c r="AG8" s="257">
        <v>1088</v>
      </c>
      <c r="AH8" s="257">
        <v>1095</v>
      </c>
      <c r="AI8" s="263">
        <f>AH8/AG8*100</f>
        <v>100.64338235294117</v>
      </c>
    </row>
    <row r="9" spans="1:35" s="207" customFormat="1" x14ac:dyDescent="0.25">
      <c r="A9" s="25"/>
      <c r="B9" s="90" t="s">
        <v>43</v>
      </c>
      <c r="C9" s="27"/>
      <c r="D9" s="28"/>
      <c r="E9" s="29"/>
      <c r="F9" s="29"/>
      <c r="G9" s="29"/>
      <c r="H9" s="57"/>
      <c r="I9" s="29"/>
      <c r="J9" s="29"/>
      <c r="K9" s="29"/>
      <c r="L9" s="57"/>
      <c r="M9" s="29"/>
      <c r="N9" s="29"/>
      <c r="O9" s="264">
        <f>O8</f>
        <v>11313</v>
      </c>
      <c r="P9" s="264">
        <f>P8</f>
        <v>11315</v>
      </c>
      <c r="Q9" s="29">
        <f>(P9-O9)/O9*100</f>
        <v>1.7678776628657297E-2</v>
      </c>
      <c r="R9" s="29"/>
      <c r="S9" s="29"/>
      <c r="T9" s="264">
        <f t="shared" ref="T9:U10" si="0">T8</f>
        <v>10684.59066</v>
      </c>
      <c r="U9" s="264">
        <f t="shared" si="0"/>
        <v>10180.035320000001</v>
      </c>
      <c r="V9" s="29">
        <f>U9/P9*100</f>
        <v>89.969379761378704</v>
      </c>
      <c r="W9" s="29"/>
      <c r="X9" s="29"/>
      <c r="Y9" s="29"/>
      <c r="Z9" s="29"/>
      <c r="AA9" s="29"/>
      <c r="AB9" s="29"/>
      <c r="AC9" s="29"/>
      <c r="AD9" s="264">
        <f>AD8</f>
        <v>504.55533999999898</v>
      </c>
      <c r="AE9" s="264"/>
      <c r="AF9" s="200"/>
      <c r="AG9" s="34"/>
      <c r="AH9" s="200"/>
      <c r="AI9" s="201"/>
    </row>
    <row r="10" spans="1:35" s="207" customFormat="1" x14ac:dyDescent="0.25">
      <c r="A10" s="25"/>
      <c r="B10" s="90" t="s">
        <v>45</v>
      </c>
      <c r="C10" s="29"/>
      <c r="D10" s="198"/>
      <c r="E10" s="25"/>
      <c r="F10" s="265"/>
      <c r="G10" s="265"/>
      <c r="H10" s="91"/>
      <c r="I10" s="265"/>
      <c r="J10" s="265"/>
      <c r="K10" s="265"/>
      <c r="L10" s="59"/>
      <c r="M10" s="265"/>
      <c r="N10" s="265"/>
      <c r="O10" s="266">
        <f>O9</f>
        <v>11313</v>
      </c>
      <c r="P10" s="266">
        <f>P9</f>
        <v>11315</v>
      </c>
      <c r="Q10" s="29">
        <f>(P10-O10)/O10*100</f>
        <v>1.7678776628657297E-2</v>
      </c>
      <c r="R10" s="266"/>
      <c r="S10" s="267"/>
      <c r="T10" s="266">
        <f t="shared" si="0"/>
        <v>10684.59066</v>
      </c>
      <c r="U10" s="266">
        <f t="shared" si="0"/>
        <v>10180.035320000001</v>
      </c>
      <c r="V10" s="272">
        <f>T10/P10*100</f>
        <v>94.428552010605387</v>
      </c>
      <c r="W10" s="266"/>
      <c r="X10" s="266"/>
      <c r="Y10" s="260"/>
      <c r="Z10" s="268"/>
      <c r="AA10" s="264"/>
      <c r="AB10" s="265"/>
      <c r="AC10" s="265"/>
      <c r="AD10" s="266">
        <f>AD9</f>
        <v>504.55533999999898</v>
      </c>
      <c r="AE10" s="269"/>
      <c r="AF10" s="265"/>
      <c r="AG10" s="265"/>
      <c r="AH10" s="265"/>
      <c r="AI10" s="270"/>
    </row>
    <row r="11" spans="1:35" x14ac:dyDescent="0.25"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9"/>
      <c r="S11" s="209"/>
      <c r="T11" s="204"/>
      <c r="U11" s="204"/>
      <c r="V11" s="204"/>
      <c r="W11" s="204"/>
      <c r="X11" s="204"/>
      <c r="Y11" s="203"/>
      <c r="Z11" s="203"/>
      <c r="AA11" s="204"/>
      <c r="AB11" s="204"/>
      <c r="AC11" s="204"/>
      <c r="AD11" s="204"/>
      <c r="AE11" s="204"/>
      <c r="AF11" s="204"/>
    </row>
    <row r="12" spans="1:35" x14ac:dyDescent="0.25"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9"/>
      <c r="S12" s="209"/>
      <c r="T12" s="204"/>
      <c r="U12" s="204"/>
      <c r="V12" s="204"/>
      <c r="W12" s="204"/>
      <c r="X12" s="204"/>
      <c r="Y12" s="203"/>
      <c r="Z12" s="203"/>
      <c r="AA12" s="204"/>
      <c r="AB12" s="204"/>
      <c r="AC12" s="204"/>
      <c r="AD12" s="204"/>
      <c r="AE12" s="204"/>
      <c r="AF12" s="204"/>
    </row>
    <row r="13" spans="1:35" x14ac:dyDescent="0.25"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9"/>
      <c r="S13" s="209"/>
      <c r="T13" s="204"/>
      <c r="U13" s="204"/>
      <c r="V13" s="204"/>
      <c r="W13" s="204"/>
      <c r="X13" s="204"/>
      <c r="Y13" s="203"/>
      <c r="Z13" s="203"/>
      <c r="AA13" s="204"/>
      <c r="AB13" s="204"/>
      <c r="AC13" s="204"/>
      <c r="AD13" s="204"/>
      <c r="AE13" s="204"/>
      <c r="AF13" s="204"/>
    </row>
    <row r="14" spans="1:35" x14ac:dyDescent="0.25"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9"/>
      <c r="S14" s="209"/>
      <c r="T14" s="204"/>
      <c r="U14" s="204"/>
      <c r="V14" s="204"/>
      <c r="W14" s="204"/>
      <c r="X14" s="204"/>
      <c r="Y14" s="203"/>
      <c r="Z14" s="203"/>
      <c r="AA14" s="204"/>
      <c r="AB14" s="204"/>
      <c r="AC14" s="204"/>
      <c r="AD14" s="204"/>
      <c r="AE14" s="204"/>
      <c r="AF14" s="204"/>
    </row>
    <row r="15" spans="1:35" x14ac:dyDescent="0.25"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9"/>
      <c r="S15" s="209"/>
      <c r="T15" s="204"/>
      <c r="U15" s="204"/>
      <c r="V15" s="204"/>
      <c r="W15" s="204"/>
      <c r="X15" s="204"/>
      <c r="Y15" s="203"/>
      <c r="Z15" s="203"/>
      <c r="AA15" s="204"/>
      <c r="AB15" s="204"/>
      <c r="AC15" s="204"/>
      <c r="AD15" s="204"/>
      <c r="AE15" s="204"/>
      <c r="AF15" s="204"/>
    </row>
    <row r="16" spans="1:35" s="338" customFormat="1" ht="36" customHeight="1" x14ac:dyDescent="0.25">
      <c r="A16" s="352" t="s">
        <v>274</v>
      </c>
      <c r="B16" s="352"/>
      <c r="D16" s="339"/>
      <c r="E16" s="340"/>
      <c r="F16" s="354" t="s">
        <v>278</v>
      </c>
      <c r="G16" s="354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1"/>
      <c r="W16" s="340"/>
      <c r="X16" s="340"/>
      <c r="Y16" s="342"/>
      <c r="Z16" s="342"/>
      <c r="AA16" s="340"/>
      <c r="AB16" s="340"/>
      <c r="AC16" s="340"/>
      <c r="AD16" s="340"/>
      <c r="AE16" s="340"/>
      <c r="AF16" s="340"/>
    </row>
    <row r="17" spans="1:32" x14ac:dyDescent="0.25">
      <c r="D17" s="208" t="s">
        <v>277</v>
      </c>
      <c r="E17" s="204"/>
      <c r="F17" s="355" t="s">
        <v>279</v>
      </c>
      <c r="G17" s="355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9"/>
      <c r="S17" s="199"/>
      <c r="W17" s="204"/>
      <c r="X17" s="204"/>
      <c r="Y17" s="203"/>
      <c r="Z17" s="203"/>
      <c r="AA17" s="204"/>
      <c r="AB17" s="204"/>
      <c r="AC17" s="204"/>
      <c r="AD17" s="204"/>
      <c r="AE17" s="204"/>
      <c r="AF17" s="204"/>
    </row>
    <row r="19" spans="1:32" x14ac:dyDescent="0.25">
      <c r="A19" s="353" t="s">
        <v>275</v>
      </c>
      <c r="B19" s="353"/>
      <c r="C19" s="353"/>
      <c r="D19" s="353"/>
      <c r="E19" s="353"/>
      <c r="F19" s="353"/>
    </row>
    <row r="20" spans="1:32" x14ac:dyDescent="0.2">
      <c r="A20" s="310"/>
      <c r="B20" s="310"/>
      <c r="C20" s="310"/>
      <c r="D20" s="311"/>
      <c r="E20" s="311"/>
      <c r="F20" s="311"/>
    </row>
    <row r="21" spans="1:32" x14ac:dyDescent="0.2">
      <c r="A21" s="353" t="s">
        <v>276</v>
      </c>
      <c r="B21" s="353"/>
      <c r="C21" s="353"/>
      <c r="D21" s="353"/>
      <c r="E21" s="353"/>
      <c r="F21" s="311"/>
    </row>
  </sheetData>
  <mergeCells count="37">
    <mergeCell ref="A16:B16"/>
    <mergeCell ref="A19:F19"/>
    <mergeCell ref="A21:E21"/>
    <mergeCell ref="F16:G16"/>
    <mergeCell ref="F17:G17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W5:X5"/>
    <mergeCell ref="Q5:Q6"/>
    <mergeCell ref="R5:S5"/>
    <mergeCell ref="T5:T6"/>
    <mergeCell ref="U5:U6"/>
    <mergeCell ref="V5:V6"/>
  </mergeCells>
  <printOptions horizontalCentered="1"/>
  <pageMargins left="0.19685039370078741" right="0.19685039370078741" top="0.94488188976377963" bottom="0.15748031496062992" header="0.31496062992125984" footer="0.51181102362204722"/>
  <pageSetup paperSize="8" scale="49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F6D19"/>
    <pageSetUpPr fitToPage="1"/>
  </sheetPr>
  <dimension ref="A1:AMK23"/>
  <sheetViews>
    <sheetView view="pageBreakPreview" zoomScale="70" zoomScaleNormal="70" zoomScalePageLayoutView="70" workbookViewId="0">
      <selection activeCell="Z8" sqref="Z8:Z9"/>
    </sheetView>
  </sheetViews>
  <sheetFormatPr defaultRowHeight="15" x14ac:dyDescent="0.25"/>
  <cols>
    <col min="1" max="1" width="18.5703125" style="181" customWidth="1"/>
    <col min="2" max="2" width="30" style="181" customWidth="1"/>
    <col min="3" max="3" width="16.85546875" style="181" customWidth="1"/>
    <col min="4" max="4" width="13.5703125" style="1" customWidth="1"/>
    <col min="5" max="5" width="16.5703125" style="181" customWidth="1"/>
    <col min="6" max="6" width="13.7109375" style="181" customWidth="1"/>
    <col min="7" max="7" width="12.42578125" style="181" customWidth="1"/>
    <col min="8" max="8" width="16.42578125" style="181" customWidth="1"/>
    <col min="9" max="9" width="13.7109375" style="181" customWidth="1"/>
    <col min="10" max="10" width="13.42578125" style="181" customWidth="1"/>
    <col min="11" max="11" width="13" style="181" customWidth="1"/>
    <col min="12" max="12" width="16.85546875" style="181" customWidth="1"/>
    <col min="13" max="13" width="11" style="181" customWidth="1"/>
    <col min="14" max="14" width="9.7109375" style="181" customWidth="1"/>
    <col min="15" max="15" width="14.42578125" style="181" customWidth="1"/>
    <col min="16" max="16" width="12.42578125" style="181" customWidth="1"/>
    <col min="17" max="17" width="14.85546875" style="181" customWidth="1"/>
    <col min="18" max="18" width="13.140625" style="181" customWidth="1"/>
    <col min="19" max="19" width="15" style="181" customWidth="1"/>
    <col min="20" max="20" width="18" style="181" customWidth="1"/>
    <col min="21" max="21" width="12.42578125" style="181" customWidth="1"/>
    <col min="22" max="22" width="12.7109375" style="181" customWidth="1"/>
    <col min="23" max="23" width="10.140625" style="181" customWidth="1"/>
    <col min="24" max="24" width="10.7109375" style="181" customWidth="1"/>
    <col min="25" max="25" width="14" style="181" customWidth="1"/>
    <col min="26" max="26" width="13.5703125" style="181" customWidth="1"/>
    <col min="27" max="27" width="15.28515625" style="181" customWidth="1"/>
    <col min="28" max="28" width="12" style="181" customWidth="1"/>
    <col min="29" max="29" width="13.5703125" style="181" customWidth="1"/>
    <col min="30" max="30" width="17.140625" style="181" customWidth="1"/>
    <col min="31" max="31" width="15.28515625" style="181" customWidth="1"/>
    <col min="32" max="32" width="41.140625" style="181" customWidth="1"/>
    <col min="33" max="33" width="14.7109375" style="181" customWidth="1"/>
    <col min="34" max="34" width="15.85546875" style="181" customWidth="1"/>
    <col min="35" max="35" width="16.28515625" style="181" customWidth="1"/>
    <col min="36" max="1025" width="8.85546875" style="181" customWidth="1"/>
  </cols>
  <sheetData>
    <row r="1" spans="1:35" ht="20.25" customHeight="1" x14ac:dyDescent="0.25">
      <c r="A1" s="465" t="s">
        <v>207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</row>
    <row r="2" spans="1:35" x14ac:dyDescent="0.25">
      <c r="AD2" s="182"/>
      <c r="AE2" s="183"/>
      <c r="AF2" s="183"/>
      <c r="AG2" s="183"/>
      <c r="AH2" s="183"/>
    </row>
    <row r="3" spans="1:35" ht="30.75" customHeight="1" x14ac:dyDescent="0.25">
      <c r="A3" s="348" t="s">
        <v>1</v>
      </c>
      <c r="B3" s="348" t="s">
        <v>2</v>
      </c>
      <c r="C3" s="348" t="s">
        <v>3</v>
      </c>
      <c r="D3" s="348" t="s">
        <v>53</v>
      </c>
      <c r="E3" s="348" t="s">
        <v>5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9" t="s">
        <v>6</v>
      </c>
      <c r="Z3" s="349"/>
      <c r="AA3" s="349"/>
      <c r="AB3" s="349"/>
      <c r="AC3" s="349"/>
      <c r="AD3" s="348" t="s">
        <v>54</v>
      </c>
      <c r="AE3" s="348" t="s">
        <v>55</v>
      </c>
      <c r="AF3" s="348" t="s">
        <v>9</v>
      </c>
      <c r="AG3" s="348"/>
      <c r="AH3" s="348"/>
      <c r="AI3" s="348"/>
    </row>
    <row r="4" spans="1:35" ht="30.75" customHeight="1" x14ac:dyDescent="0.25">
      <c r="A4" s="348"/>
      <c r="B4" s="348"/>
      <c r="C4" s="348"/>
      <c r="D4" s="348"/>
      <c r="E4" s="350" t="s">
        <v>10</v>
      </c>
      <c r="F4" s="350"/>
      <c r="G4" s="350"/>
      <c r="H4" s="350"/>
      <c r="I4" s="350"/>
      <c r="J4" s="350"/>
      <c r="K4" s="350"/>
      <c r="L4" s="350"/>
      <c r="M4" s="350"/>
      <c r="N4" s="350"/>
      <c r="O4" s="351" t="s">
        <v>11</v>
      </c>
      <c r="P4" s="351"/>
      <c r="Q4" s="351"/>
      <c r="R4" s="351"/>
      <c r="S4" s="351"/>
      <c r="T4" s="351"/>
      <c r="U4" s="351"/>
      <c r="V4" s="351"/>
      <c r="W4" s="351"/>
      <c r="X4" s="351"/>
      <c r="Y4" s="346" t="s">
        <v>12</v>
      </c>
      <c r="Z4" s="346" t="s">
        <v>13</v>
      </c>
      <c r="AA4" s="346" t="s">
        <v>14</v>
      </c>
      <c r="AB4" s="346" t="s">
        <v>15</v>
      </c>
      <c r="AC4" s="346"/>
      <c r="AD4" s="348"/>
      <c r="AE4" s="348"/>
      <c r="AF4" s="348"/>
      <c r="AG4" s="348"/>
      <c r="AH4" s="348"/>
      <c r="AI4" s="348"/>
    </row>
    <row r="5" spans="1:35" ht="81.95" customHeight="1" x14ac:dyDescent="0.25">
      <c r="A5" s="348"/>
      <c r="B5" s="348"/>
      <c r="C5" s="348"/>
      <c r="D5" s="348"/>
      <c r="E5" s="346" t="s">
        <v>16</v>
      </c>
      <c r="F5" s="346" t="s">
        <v>56</v>
      </c>
      <c r="G5" s="346" t="s">
        <v>57</v>
      </c>
      <c r="H5" s="346" t="s">
        <v>19</v>
      </c>
      <c r="I5" s="346" t="s">
        <v>20</v>
      </c>
      <c r="J5" s="346"/>
      <c r="K5" s="346" t="s">
        <v>21</v>
      </c>
      <c r="L5" s="346" t="s">
        <v>22</v>
      </c>
      <c r="M5" s="346" t="s">
        <v>23</v>
      </c>
      <c r="N5" s="346"/>
      <c r="O5" s="346" t="s">
        <v>58</v>
      </c>
      <c r="P5" s="346" t="s">
        <v>59</v>
      </c>
      <c r="Q5" s="346" t="s">
        <v>26</v>
      </c>
      <c r="R5" s="356" t="s">
        <v>27</v>
      </c>
      <c r="S5" s="356"/>
      <c r="T5" s="346" t="s">
        <v>60</v>
      </c>
      <c r="U5" s="346" t="s">
        <v>61</v>
      </c>
      <c r="V5" s="346" t="s">
        <v>29</v>
      </c>
      <c r="W5" s="346" t="s">
        <v>23</v>
      </c>
      <c r="X5" s="346"/>
      <c r="Y5" s="346"/>
      <c r="Z5" s="346"/>
      <c r="AA5" s="346"/>
      <c r="AB5" s="346"/>
      <c r="AC5" s="346"/>
      <c r="AD5" s="348"/>
      <c r="AE5" s="348"/>
      <c r="AF5" s="348"/>
      <c r="AG5" s="348"/>
      <c r="AH5" s="348"/>
      <c r="AI5" s="348"/>
    </row>
    <row r="6" spans="1:35" ht="60" x14ac:dyDescent="0.25">
      <c r="A6" s="348"/>
      <c r="B6" s="348"/>
      <c r="C6" s="348"/>
      <c r="D6" s="348"/>
      <c r="E6" s="346"/>
      <c r="F6" s="346"/>
      <c r="G6" s="346"/>
      <c r="H6" s="346"/>
      <c r="I6" s="10" t="s">
        <v>30</v>
      </c>
      <c r="J6" s="11" t="s">
        <v>31</v>
      </c>
      <c r="K6" s="346"/>
      <c r="L6" s="346"/>
      <c r="M6" s="10" t="s">
        <v>32</v>
      </c>
      <c r="N6" s="11" t="s">
        <v>33</v>
      </c>
      <c r="O6" s="346"/>
      <c r="P6" s="346"/>
      <c r="Q6" s="346"/>
      <c r="R6" s="10" t="s">
        <v>34</v>
      </c>
      <c r="S6" s="11" t="s">
        <v>31</v>
      </c>
      <c r="T6" s="346"/>
      <c r="U6" s="346"/>
      <c r="V6" s="346"/>
      <c r="W6" s="10" t="s">
        <v>32</v>
      </c>
      <c r="X6" s="11" t="s">
        <v>33</v>
      </c>
      <c r="Y6" s="346"/>
      <c r="Z6" s="346"/>
      <c r="AA6" s="346"/>
      <c r="AB6" s="12" t="s">
        <v>30</v>
      </c>
      <c r="AC6" s="12" t="s">
        <v>31</v>
      </c>
      <c r="AD6" s="348"/>
      <c r="AE6" s="348"/>
      <c r="AF6" s="12" t="s">
        <v>35</v>
      </c>
      <c r="AG6" s="12" t="s">
        <v>62</v>
      </c>
      <c r="AH6" s="12" t="s">
        <v>63</v>
      </c>
      <c r="AI6" s="12" t="s">
        <v>38</v>
      </c>
    </row>
    <row r="7" spans="1:35" x14ac:dyDescent="0.25">
      <c r="A7" s="184">
        <v>1</v>
      </c>
      <c r="B7" s="184">
        <v>2</v>
      </c>
      <c r="C7" s="184">
        <v>3</v>
      </c>
      <c r="D7" s="184">
        <v>4</v>
      </c>
      <c r="E7" s="184">
        <v>5</v>
      </c>
      <c r="F7" s="184">
        <v>6</v>
      </c>
      <c r="G7" s="184">
        <v>7</v>
      </c>
      <c r="H7" s="184">
        <v>8</v>
      </c>
      <c r="I7" s="184">
        <v>9</v>
      </c>
      <c r="J7" s="184">
        <v>10</v>
      </c>
      <c r="K7" s="184">
        <v>11</v>
      </c>
      <c r="L7" s="184">
        <v>12</v>
      </c>
      <c r="M7" s="184">
        <v>13</v>
      </c>
      <c r="N7" s="184">
        <v>14</v>
      </c>
      <c r="O7" s="184">
        <v>15</v>
      </c>
      <c r="P7" s="184">
        <v>16</v>
      </c>
      <c r="Q7" s="184">
        <v>17</v>
      </c>
      <c r="R7" s="184">
        <v>18</v>
      </c>
      <c r="S7" s="184">
        <v>19</v>
      </c>
      <c r="T7" s="184">
        <v>20</v>
      </c>
      <c r="U7" s="184">
        <v>21</v>
      </c>
      <c r="V7" s="184">
        <v>22</v>
      </c>
      <c r="W7" s="184">
        <v>23</v>
      </c>
      <c r="X7" s="184">
        <v>24</v>
      </c>
      <c r="Y7" s="184">
        <v>25</v>
      </c>
      <c r="Z7" s="184">
        <v>26</v>
      </c>
      <c r="AA7" s="184">
        <v>27</v>
      </c>
      <c r="AB7" s="184">
        <v>28</v>
      </c>
      <c r="AC7" s="184">
        <v>29</v>
      </c>
      <c r="AD7" s="184">
        <v>30</v>
      </c>
      <c r="AE7" s="184">
        <v>31</v>
      </c>
      <c r="AF7" s="184">
        <v>32</v>
      </c>
      <c r="AG7" s="184">
        <v>33</v>
      </c>
      <c r="AH7" s="184">
        <v>34</v>
      </c>
      <c r="AI7" s="15">
        <v>35</v>
      </c>
    </row>
    <row r="8" spans="1:35" ht="44.25" customHeight="1" x14ac:dyDescent="0.25">
      <c r="A8" s="462">
        <v>2409</v>
      </c>
      <c r="B8" s="463" t="s">
        <v>195</v>
      </c>
      <c r="C8" s="462" t="s">
        <v>41</v>
      </c>
      <c r="D8" s="464">
        <v>1</v>
      </c>
      <c r="E8" s="464" t="s">
        <v>208</v>
      </c>
      <c r="F8" s="460">
        <v>75309</v>
      </c>
      <c r="G8" s="460">
        <v>76373</v>
      </c>
      <c r="H8" s="459">
        <f>((G8-F8)/F8)*100</f>
        <v>1.4128457422087666</v>
      </c>
      <c r="I8" s="460">
        <v>0</v>
      </c>
      <c r="J8" s="460">
        <v>0</v>
      </c>
      <c r="K8" s="460">
        <v>77649</v>
      </c>
      <c r="L8" s="461">
        <f>K8/G8*100</f>
        <v>101.67074751548321</v>
      </c>
      <c r="M8" s="460">
        <v>0</v>
      </c>
      <c r="N8" s="460">
        <v>0</v>
      </c>
      <c r="O8" s="461">
        <v>11002.4</v>
      </c>
      <c r="P8" s="461">
        <v>12025.3</v>
      </c>
      <c r="Q8" s="461">
        <f>((P8-O8)/O8)*100</f>
        <v>9.2970624590998288</v>
      </c>
      <c r="R8" s="460">
        <v>0</v>
      </c>
      <c r="S8" s="460">
        <v>0</v>
      </c>
      <c r="T8" s="461">
        <v>12025.3</v>
      </c>
      <c r="U8" s="461">
        <v>12025.3</v>
      </c>
      <c r="V8" s="461">
        <f>U8/P8*100</f>
        <v>100</v>
      </c>
      <c r="W8" s="460">
        <v>0</v>
      </c>
      <c r="X8" s="460">
        <v>0</v>
      </c>
      <c r="Y8" s="460">
        <f>O8/F8*1000</f>
        <v>146.09674806464034</v>
      </c>
      <c r="Z8" s="460">
        <v>146.09</v>
      </c>
      <c r="AA8" s="460">
        <f>((Z8-Y8)/Y8)*100</f>
        <v>-4.6189013306088631E-3</v>
      </c>
      <c r="AB8" s="460">
        <v>0</v>
      </c>
      <c r="AC8" s="460">
        <v>0</v>
      </c>
      <c r="AD8" s="461">
        <f>T8-U8</f>
        <v>0</v>
      </c>
      <c r="AE8" s="460">
        <v>100</v>
      </c>
      <c r="AF8" s="161" t="s">
        <v>209</v>
      </c>
      <c r="AG8" s="131">
        <v>1570</v>
      </c>
      <c r="AH8" s="131">
        <v>1126.5999999999999</v>
      </c>
      <c r="AI8" s="159">
        <f>(1+(1-AH8/AG8))*100</f>
        <v>128.2420382165605</v>
      </c>
    </row>
    <row r="9" spans="1:35" ht="45.95" customHeight="1" x14ac:dyDescent="0.25">
      <c r="A9" s="462"/>
      <c r="B9" s="462"/>
      <c r="C9" s="462"/>
      <c r="D9" s="462"/>
      <c r="E9" s="464"/>
      <c r="F9" s="460"/>
      <c r="G9" s="460"/>
      <c r="H9" s="459"/>
      <c r="I9" s="460"/>
      <c r="J9" s="460"/>
      <c r="K9" s="460"/>
      <c r="L9" s="461"/>
      <c r="M9" s="460"/>
      <c r="N9" s="460"/>
      <c r="O9" s="461"/>
      <c r="P9" s="461"/>
      <c r="Q9" s="461"/>
      <c r="R9" s="460"/>
      <c r="S9" s="460"/>
      <c r="T9" s="461"/>
      <c r="U9" s="461"/>
      <c r="V9" s="461"/>
      <c r="W9" s="460"/>
      <c r="X9" s="460"/>
      <c r="Y9" s="460"/>
      <c r="Z9" s="460"/>
      <c r="AA9" s="460"/>
      <c r="AB9" s="460"/>
      <c r="AC9" s="460"/>
      <c r="AD9" s="461"/>
      <c r="AE9" s="460"/>
      <c r="AF9" s="161" t="s">
        <v>210</v>
      </c>
      <c r="AG9" s="162">
        <v>645</v>
      </c>
      <c r="AH9" s="162">
        <v>636</v>
      </c>
      <c r="AI9" s="159">
        <f>AG9/AH9*100</f>
        <v>101.41509433962264</v>
      </c>
    </row>
    <row r="10" spans="1:35" ht="45.75" customHeight="1" x14ac:dyDescent="0.25">
      <c r="A10" s="456">
        <v>3202</v>
      </c>
      <c r="B10" s="457" t="s">
        <v>211</v>
      </c>
      <c r="C10" s="456" t="s">
        <v>41</v>
      </c>
      <c r="D10" s="456">
        <v>1</v>
      </c>
      <c r="E10" s="456" t="s">
        <v>84</v>
      </c>
      <c r="F10" s="458">
        <v>2500</v>
      </c>
      <c r="G10" s="458">
        <v>2934</v>
      </c>
      <c r="H10" s="455">
        <f>((G10-F10)/F10)*100</f>
        <v>17.36</v>
      </c>
      <c r="I10" s="455">
        <v>1</v>
      </c>
      <c r="J10" s="455">
        <v>0</v>
      </c>
      <c r="K10" s="458">
        <v>2935</v>
      </c>
      <c r="L10" s="454">
        <f>K10/G10*100</f>
        <v>100.03408316291751</v>
      </c>
      <c r="M10" s="455">
        <v>0</v>
      </c>
      <c r="N10" s="455">
        <v>0</v>
      </c>
      <c r="O10" s="454">
        <v>198865.6</v>
      </c>
      <c r="P10" s="454">
        <v>243872</v>
      </c>
      <c r="Q10" s="454">
        <f>((P10-O10)/O10)*100</f>
        <v>22.631566243734458</v>
      </c>
      <c r="R10" s="455">
        <v>1</v>
      </c>
      <c r="S10" s="455">
        <v>0</v>
      </c>
      <c r="T10" s="454">
        <v>243872</v>
      </c>
      <c r="U10" s="454">
        <v>242957.4</v>
      </c>
      <c r="V10" s="454">
        <f>U10/P10*100</f>
        <v>99.624967195906038</v>
      </c>
      <c r="W10" s="455">
        <v>0</v>
      </c>
      <c r="X10" s="455">
        <v>0</v>
      </c>
      <c r="Y10" s="455">
        <v>0</v>
      </c>
      <c r="Z10" s="455">
        <v>0</v>
      </c>
      <c r="AA10" s="455">
        <v>0</v>
      </c>
      <c r="AB10" s="455">
        <v>0</v>
      </c>
      <c r="AC10" s="455">
        <v>0</v>
      </c>
      <c r="AD10" s="454">
        <f>T10-U10</f>
        <v>914.60000000000582</v>
      </c>
      <c r="AE10" s="455">
        <v>102</v>
      </c>
      <c r="AF10" s="161" t="s">
        <v>209</v>
      </c>
      <c r="AG10" s="131">
        <v>1570</v>
      </c>
      <c r="AH10" s="131">
        <v>1126.5999999999999</v>
      </c>
      <c r="AI10" s="159">
        <f>AH10/AG10*100</f>
        <v>71.757961783439484</v>
      </c>
    </row>
    <row r="11" spans="1:35" ht="57.75" customHeight="1" x14ac:dyDescent="0.25">
      <c r="A11" s="456"/>
      <c r="B11" s="457"/>
      <c r="C11" s="456"/>
      <c r="D11" s="456"/>
      <c r="E11" s="456"/>
      <c r="F11" s="458"/>
      <c r="G11" s="458"/>
      <c r="H11" s="455"/>
      <c r="I11" s="455"/>
      <c r="J11" s="455"/>
      <c r="K11" s="458"/>
      <c r="L11" s="454"/>
      <c r="M11" s="455"/>
      <c r="N11" s="455"/>
      <c r="O11" s="454"/>
      <c r="P11" s="454"/>
      <c r="Q11" s="454"/>
      <c r="R11" s="455"/>
      <c r="S11" s="455"/>
      <c r="T11" s="454"/>
      <c r="U11" s="454"/>
      <c r="V11" s="454"/>
      <c r="W11" s="455"/>
      <c r="X11" s="455"/>
      <c r="Y11" s="455"/>
      <c r="Z11" s="455"/>
      <c r="AA11" s="455"/>
      <c r="AB11" s="455"/>
      <c r="AC11" s="455"/>
      <c r="AD11" s="454"/>
      <c r="AE11" s="455"/>
      <c r="AF11" s="185" t="s">
        <v>212</v>
      </c>
      <c r="AG11" s="131">
        <v>2.15</v>
      </c>
      <c r="AH11" s="131">
        <v>9.4</v>
      </c>
      <c r="AI11" s="159">
        <f>AH11/AG11*100</f>
        <v>437.20930232558146</v>
      </c>
    </row>
    <row r="12" spans="1:35" ht="39.4" customHeight="1" x14ac:dyDescent="0.25">
      <c r="A12" s="456">
        <v>3203</v>
      </c>
      <c r="B12" s="457" t="s">
        <v>213</v>
      </c>
      <c r="C12" s="456" t="s">
        <v>41</v>
      </c>
      <c r="D12" s="456">
        <v>1</v>
      </c>
      <c r="E12" s="456" t="s">
        <v>84</v>
      </c>
      <c r="F12" s="458">
        <v>2500</v>
      </c>
      <c r="G12" s="458">
        <v>2737</v>
      </c>
      <c r="H12" s="455">
        <f>((G12-F12)/F12)*100</f>
        <v>9.48</v>
      </c>
      <c r="I12" s="455">
        <v>0</v>
      </c>
      <c r="J12" s="455">
        <v>0</v>
      </c>
      <c r="K12" s="458">
        <v>2837</v>
      </c>
      <c r="L12" s="454">
        <f>K12/G12*100</f>
        <v>103.65363536719035</v>
      </c>
      <c r="M12" s="455">
        <v>0</v>
      </c>
      <c r="N12" s="455">
        <v>0</v>
      </c>
      <c r="O12" s="454">
        <v>120284.6</v>
      </c>
      <c r="P12" s="454">
        <v>129672.9</v>
      </c>
      <c r="Q12" s="454">
        <f>((P12-O12)/O12)*100</f>
        <v>7.8050723035201415</v>
      </c>
      <c r="R12" s="455">
        <v>0</v>
      </c>
      <c r="S12" s="455">
        <v>0</v>
      </c>
      <c r="T12" s="454">
        <v>129672.9</v>
      </c>
      <c r="U12" s="454">
        <v>129672.9</v>
      </c>
      <c r="V12" s="454">
        <f>U12/P12*100</f>
        <v>100</v>
      </c>
      <c r="W12" s="455">
        <v>0</v>
      </c>
      <c r="X12" s="455">
        <v>0</v>
      </c>
      <c r="Y12" s="455">
        <v>0</v>
      </c>
      <c r="Z12" s="455">
        <v>0</v>
      </c>
      <c r="AA12" s="455">
        <v>0</v>
      </c>
      <c r="AB12" s="455">
        <v>0</v>
      </c>
      <c r="AC12" s="455">
        <v>0</v>
      </c>
      <c r="AD12" s="454">
        <f>T12-U12</f>
        <v>0</v>
      </c>
      <c r="AE12" s="455">
        <v>102</v>
      </c>
      <c r="AF12" s="161" t="s">
        <v>214</v>
      </c>
      <c r="AG12" s="131">
        <v>1570</v>
      </c>
      <c r="AH12" s="131">
        <v>1126.5999999999999</v>
      </c>
      <c r="AI12" s="159">
        <f>(1+(1-AH12/AG12))*100</f>
        <v>128.2420382165605</v>
      </c>
    </row>
    <row r="13" spans="1:35" ht="48" customHeight="1" x14ac:dyDescent="0.25">
      <c r="A13" s="456"/>
      <c r="B13" s="457"/>
      <c r="C13" s="456"/>
      <c r="D13" s="456"/>
      <c r="E13" s="456"/>
      <c r="F13" s="458"/>
      <c r="G13" s="458"/>
      <c r="H13" s="455"/>
      <c r="I13" s="455"/>
      <c r="J13" s="455"/>
      <c r="K13" s="458"/>
      <c r="L13" s="454"/>
      <c r="M13" s="455"/>
      <c r="N13" s="455"/>
      <c r="O13" s="454"/>
      <c r="P13" s="454"/>
      <c r="Q13" s="454"/>
      <c r="R13" s="455"/>
      <c r="S13" s="455"/>
      <c r="T13" s="454"/>
      <c r="U13" s="454"/>
      <c r="V13" s="454"/>
      <c r="W13" s="455"/>
      <c r="X13" s="455"/>
      <c r="Y13" s="455"/>
      <c r="Z13" s="455"/>
      <c r="AA13" s="455"/>
      <c r="AB13" s="455"/>
      <c r="AC13" s="455"/>
      <c r="AD13" s="454"/>
      <c r="AE13" s="455"/>
      <c r="AF13" s="161" t="s">
        <v>210</v>
      </c>
      <c r="AG13" s="162">
        <v>645</v>
      </c>
      <c r="AH13" s="162">
        <v>636</v>
      </c>
      <c r="AI13" s="159">
        <f>AG13/AH13*100</f>
        <v>101.41509433962264</v>
      </c>
    </row>
    <row r="14" spans="1:35" ht="45" customHeight="1" x14ac:dyDescent="0.25">
      <c r="A14" s="456">
        <v>3204</v>
      </c>
      <c r="B14" s="457" t="s">
        <v>215</v>
      </c>
      <c r="C14" s="456" t="s">
        <v>41</v>
      </c>
      <c r="D14" s="456">
        <v>1</v>
      </c>
      <c r="E14" s="456" t="s">
        <v>84</v>
      </c>
      <c r="F14" s="458">
        <v>3</v>
      </c>
      <c r="G14" s="458">
        <v>3</v>
      </c>
      <c r="H14" s="459">
        <f>((G14-F14)/F14)*100</f>
        <v>0</v>
      </c>
      <c r="I14" s="455">
        <v>0</v>
      </c>
      <c r="J14" s="455">
        <v>0</v>
      </c>
      <c r="K14" s="458">
        <v>3</v>
      </c>
      <c r="L14" s="454">
        <f>K14/G14*100</f>
        <v>100</v>
      </c>
      <c r="M14" s="455">
        <v>0</v>
      </c>
      <c r="N14" s="455">
        <v>0</v>
      </c>
      <c r="O14" s="454">
        <v>28995.4</v>
      </c>
      <c r="P14" s="454">
        <v>28995.4</v>
      </c>
      <c r="Q14" s="454">
        <f>((P14-O14)/O14)*100</f>
        <v>0</v>
      </c>
      <c r="R14" s="455">
        <v>0</v>
      </c>
      <c r="S14" s="455">
        <v>0</v>
      </c>
      <c r="T14" s="454">
        <v>28995.4</v>
      </c>
      <c r="U14" s="454">
        <v>28921.77</v>
      </c>
      <c r="V14" s="454">
        <f>U14/P14*100</f>
        <v>99.746063168640546</v>
      </c>
      <c r="W14" s="455">
        <v>0</v>
      </c>
      <c r="X14" s="455">
        <v>0</v>
      </c>
      <c r="Y14" s="455">
        <v>0</v>
      </c>
      <c r="Z14" s="455">
        <v>0</v>
      </c>
      <c r="AA14" s="455">
        <v>0</v>
      </c>
      <c r="AB14" s="455">
        <v>0</v>
      </c>
      <c r="AC14" s="455">
        <v>0</v>
      </c>
      <c r="AD14" s="454">
        <f>T14-U14</f>
        <v>73.630000000001019</v>
      </c>
      <c r="AE14" s="455">
        <v>100</v>
      </c>
      <c r="AF14" s="161" t="s">
        <v>209</v>
      </c>
      <c r="AG14" s="131">
        <v>1570</v>
      </c>
      <c r="AH14" s="131">
        <v>1126.5999999999999</v>
      </c>
      <c r="AI14" s="159">
        <f>(1+(1-AH14/AG14))*100</f>
        <v>128.2420382165605</v>
      </c>
    </row>
    <row r="15" spans="1:35" ht="57" customHeight="1" x14ac:dyDescent="0.25">
      <c r="A15" s="456"/>
      <c r="B15" s="457"/>
      <c r="C15" s="456"/>
      <c r="D15" s="456"/>
      <c r="E15" s="456"/>
      <c r="F15" s="458"/>
      <c r="G15" s="458"/>
      <c r="H15" s="459"/>
      <c r="I15" s="455"/>
      <c r="J15" s="455"/>
      <c r="K15" s="458"/>
      <c r="L15" s="454"/>
      <c r="M15" s="455"/>
      <c r="N15" s="455"/>
      <c r="O15" s="454"/>
      <c r="P15" s="454"/>
      <c r="Q15" s="454"/>
      <c r="R15" s="455"/>
      <c r="S15" s="455"/>
      <c r="T15" s="454"/>
      <c r="U15" s="454"/>
      <c r="V15" s="454"/>
      <c r="W15" s="455"/>
      <c r="X15" s="455"/>
      <c r="Y15" s="455"/>
      <c r="Z15" s="455"/>
      <c r="AA15" s="455"/>
      <c r="AB15" s="455"/>
      <c r="AC15" s="455"/>
      <c r="AD15" s="454"/>
      <c r="AE15" s="455"/>
      <c r="AF15" s="161" t="s">
        <v>210</v>
      </c>
      <c r="AG15" s="162">
        <v>645</v>
      </c>
      <c r="AH15" s="162">
        <v>636</v>
      </c>
      <c r="AI15" s="159">
        <f>AG15/AH15*100</f>
        <v>101.41509433962264</v>
      </c>
    </row>
    <row r="16" spans="1:35" ht="44.25" customHeight="1" x14ac:dyDescent="0.25">
      <c r="A16" s="456">
        <v>3205</v>
      </c>
      <c r="B16" s="457" t="s">
        <v>216</v>
      </c>
      <c r="C16" s="456" t="s">
        <v>41</v>
      </c>
      <c r="D16" s="456">
        <v>2</v>
      </c>
      <c r="E16" s="456" t="s">
        <v>84</v>
      </c>
      <c r="F16" s="458">
        <v>3</v>
      </c>
      <c r="G16" s="458">
        <v>3</v>
      </c>
      <c r="H16" s="459">
        <f>((G16-F16)/F16)*100</f>
        <v>0</v>
      </c>
      <c r="I16" s="455">
        <v>0</v>
      </c>
      <c r="J16" s="455">
        <v>0</v>
      </c>
      <c r="K16" s="458">
        <v>3</v>
      </c>
      <c r="L16" s="454">
        <f>K16/G16*100</f>
        <v>100</v>
      </c>
      <c r="M16" s="455">
        <v>0</v>
      </c>
      <c r="N16" s="455">
        <v>0</v>
      </c>
      <c r="O16" s="454">
        <v>13387.6</v>
      </c>
      <c r="P16" s="454">
        <v>19827.599999999999</v>
      </c>
      <c r="Q16" s="454">
        <f>((P16-O16)/O16)*100</f>
        <v>48.104215841524976</v>
      </c>
      <c r="R16" s="455">
        <v>1</v>
      </c>
      <c r="S16" s="455">
        <v>0</v>
      </c>
      <c r="T16" s="454">
        <v>19827.599999999999</v>
      </c>
      <c r="U16" s="454">
        <v>19827.599999999999</v>
      </c>
      <c r="V16" s="454">
        <f>U16/P16*100</f>
        <v>100</v>
      </c>
      <c r="W16" s="455">
        <v>0</v>
      </c>
      <c r="X16" s="455">
        <v>0</v>
      </c>
      <c r="Y16" s="455">
        <v>0</v>
      </c>
      <c r="Z16" s="455">
        <v>0</v>
      </c>
      <c r="AA16" s="455">
        <v>0</v>
      </c>
      <c r="AB16" s="455">
        <v>0</v>
      </c>
      <c r="AC16" s="455">
        <v>0</v>
      </c>
      <c r="AD16" s="454">
        <f>T16-U16</f>
        <v>0</v>
      </c>
      <c r="AE16" s="455">
        <v>102</v>
      </c>
      <c r="AF16" s="161" t="s">
        <v>209</v>
      </c>
      <c r="AG16" s="131">
        <v>1570</v>
      </c>
      <c r="AH16" s="131">
        <v>1126.5999999999999</v>
      </c>
      <c r="AI16" s="159">
        <f>(1+(1-AH16/AG16))*100</f>
        <v>128.2420382165605</v>
      </c>
    </row>
    <row r="17" spans="1:35" ht="56.25" customHeight="1" x14ac:dyDescent="0.25">
      <c r="A17" s="456"/>
      <c r="B17" s="457"/>
      <c r="C17" s="456"/>
      <c r="D17" s="456"/>
      <c r="E17" s="456"/>
      <c r="F17" s="458"/>
      <c r="G17" s="458"/>
      <c r="H17" s="459"/>
      <c r="I17" s="455"/>
      <c r="J17" s="455"/>
      <c r="K17" s="458"/>
      <c r="L17" s="454"/>
      <c r="M17" s="455"/>
      <c r="N17" s="455"/>
      <c r="O17" s="454"/>
      <c r="P17" s="454"/>
      <c r="Q17" s="454"/>
      <c r="R17" s="455"/>
      <c r="S17" s="455"/>
      <c r="T17" s="454"/>
      <c r="U17" s="454"/>
      <c r="V17" s="454"/>
      <c r="W17" s="455"/>
      <c r="X17" s="455"/>
      <c r="Y17" s="455"/>
      <c r="Z17" s="455"/>
      <c r="AA17" s="455"/>
      <c r="AB17" s="455"/>
      <c r="AC17" s="455"/>
      <c r="AD17" s="454"/>
      <c r="AE17" s="455"/>
      <c r="AF17" s="161" t="s">
        <v>210</v>
      </c>
      <c r="AG17" s="162">
        <v>645</v>
      </c>
      <c r="AH17" s="162">
        <v>636</v>
      </c>
      <c r="AI17" s="159">
        <f>AG17/AH17*100</f>
        <v>101.41509433962264</v>
      </c>
    </row>
    <row r="18" spans="1:35" ht="57" customHeight="1" x14ac:dyDescent="0.25">
      <c r="A18" s="456"/>
      <c r="B18" s="457"/>
      <c r="C18" s="456"/>
      <c r="D18" s="456"/>
      <c r="E18" s="456"/>
      <c r="F18" s="458"/>
      <c r="G18" s="458"/>
      <c r="H18" s="459"/>
      <c r="I18" s="455"/>
      <c r="J18" s="455"/>
      <c r="K18" s="458"/>
      <c r="L18" s="454"/>
      <c r="M18" s="455"/>
      <c r="N18" s="455"/>
      <c r="O18" s="454"/>
      <c r="P18" s="454"/>
      <c r="Q18" s="454"/>
      <c r="R18" s="455"/>
      <c r="S18" s="455"/>
      <c r="T18" s="454"/>
      <c r="U18" s="454"/>
      <c r="V18" s="454"/>
      <c r="W18" s="455"/>
      <c r="X18" s="455"/>
      <c r="Y18" s="455"/>
      <c r="Z18" s="455"/>
      <c r="AA18" s="455"/>
      <c r="AB18" s="455"/>
      <c r="AC18" s="455"/>
      <c r="AD18" s="454"/>
      <c r="AE18" s="455"/>
      <c r="AF18" s="161" t="s">
        <v>217</v>
      </c>
      <c r="AG18" s="131">
        <v>100</v>
      </c>
      <c r="AH18" s="131">
        <v>100</v>
      </c>
      <c r="AI18" s="159">
        <v>100</v>
      </c>
    </row>
    <row r="19" spans="1:35" ht="44.25" customHeight="1" x14ac:dyDescent="0.25">
      <c r="A19" s="456">
        <v>3206</v>
      </c>
      <c r="B19" s="457" t="s">
        <v>218</v>
      </c>
      <c r="C19" s="456" t="s">
        <v>41</v>
      </c>
      <c r="D19" s="456">
        <v>1</v>
      </c>
      <c r="E19" s="456" t="s">
        <v>219</v>
      </c>
      <c r="F19" s="458">
        <v>3160</v>
      </c>
      <c r="G19" s="458">
        <v>3212</v>
      </c>
      <c r="H19" s="459">
        <f>((G19-F19)/F19)*100</f>
        <v>1.6455696202531647</v>
      </c>
      <c r="I19" s="455">
        <v>0</v>
      </c>
      <c r="J19" s="455">
        <v>0</v>
      </c>
      <c r="K19" s="458">
        <v>3442</v>
      </c>
      <c r="L19" s="454">
        <f>K19/G19*100</f>
        <v>107.16064757160649</v>
      </c>
      <c r="M19" s="455">
        <v>0</v>
      </c>
      <c r="N19" s="455">
        <v>0</v>
      </c>
      <c r="O19" s="454">
        <v>50524.7</v>
      </c>
      <c r="P19" s="454">
        <v>54571</v>
      </c>
      <c r="Q19" s="454">
        <f>((P19-O19)/O19)*100</f>
        <v>8.0085581903504686</v>
      </c>
      <c r="R19" s="455">
        <v>0</v>
      </c>
      <c r="S19" s="455">
        <v>0</v>
      </c>
      <c r="T19" s="454">
        <v>54571</v>
      </c>
      <c r="U19" s="454">
        <v>54571</v>
      </c>
      <c r="V19" s="454">
        <f>U19/P19*100</f>
        <v>100</v>
      </c>
      <c r="W19" s="455">
        <v>0</v>
      </c>
      <c r="X19" s="455">
        <v>0</v>
      </c>
      <c r="Y19" s="455">
        <v>0</v>
      </c>
      <c r="Z19" s="455">
        <v>0</v>
      </c>
      <c r="AA19" s="455">
        <v>0</v>
      </c>
      <c r="AB19" s="455">
        <v>0</v>
      </c>
      <c r="AC19" s="455">
        <v>0</v>
      </c>
      <c r="AD19" s="454">
        <f>T19-U19</f>
        <v>0</v>
      </c>
      <c r="AE19" s="455">
        <v>100</v>
      </c>
      <c r="AF19" s="161" t="s">
        <v>209</v>
      </c>
      <c r="AG19" s="131">
        <v>1570</v>
      </c>
      <c r="AH19" s="131">
        <v>1126.5999999999999</v>
      </c>
      <c r="AI19" s="159">
        <f>(1+(1-AH19/AG19))*100</f>
        <v>128.2420382165605</v>
      </c>
    </row>
    <row r="20" spans="1:35" ht="54.75" customHeight="1" x14ac:dyDescent="0.25">
      <c r="A20" s="456"/>
      <c r="B20" s="457"/>
      <c r="C20" s="456"/>
      <c r="D20" s="456"/>
      <c r="E20" s="456"/>
      <c r="F20" s="458"/>
      <c r="G20" s="458"/>
      <c r="H20" s="459"/>
      <c r="I20" s="455"/>
      <c r="J20" s="455"/>
      <c r="K20" s="458"/>
      <c r="L20" s="454"/>
      <c r="M20" s="455"/>
      <c r="N20" s="455"/>
      <c r="O20" s="454"/>
      <c r="P20" s="454"/>
      <c r="Q20" s="454"/>
      <c r="R20" s="455"/>
      <c r="S20" s="455"/>
      <c r="T20" s="454"/>
      <c r="U20" s="454"/>
      <c r="V20" s="454"/>
      <c r="W20" s="455"/>
      <c r="X20" s="455"/>
      <c r="Y20" s="455"/>
      <c r="Z20" s="455"/>
      <c r="AA20" s="455"/>
      <c r="AB20" s="455"/>
      <c r="AC20" s="455"/>
      <c r="AD20" s="454"/>
      <c r="AE20" s="455"/>
      <c r="AF20" s="161" t="s">
        <v>210</v>
      </c>
      <c r="AG20" s="162">
        <v>645</v>
      </c>
      <c r="AH20" s="162">
        <v>636</v>
      </c>
      <c r="AI20" s="159">
        <f>AG20/AH20*100</f>
        <v>101.41509433962264</v>
      </c>
    </row>
    <row r="21" spans="1:35" s="193" customFormat="1" x14ac:dyDescent="0.25">
      <c r="A21" s="186"/>
      <c r="B21" s="186" t="s">
        <v>43</v>
      </c>
      <c r="C21" s="187"/>
      <c r="D21" s="188"/>
      <c r="E21" s="187"/>
      <c r="F21" s="189"/>
      <c r="G21" s="189"/>
      <c r="H21" s="189"/>
      <c r="I21" s="189"/>
      <c r="J21" s="189"/>
      <c r="K21" s="189"/>
      <c r="L21" s="189"/>
      <c r="M21" s="189"/>
      <c r="N21" s="189"/>
      <c r="O21" s="189">
        <f>O8+O10+O12+O14+O16+O19</f>
        <v>423060.3</v>
      </c>
      <c r="P21" s="189">
        <f>P8+P10+P12+P14+P16+P19</f>
        <v>488964.19999999995</v>
      </c>
      <c r="Q21" s="189">
        <f>((P21-O21)/O21)*100</f>
        <v>15.577897524300901</v>
      </c>
      <c r="R21" s="189"/>
      <c r="S21" s="189"/>
      <c r="T21" s="187">
        <f>T8+T10+T12+T14+T16+T19</f>
        <v>488964.19999999995</v>
      </c>
      <c r="U21" s="187">
        <f>U8+U10+U12+U14+U16+U19</f>
        <v>487975.97</v>
      </c>
      <c r="V21" s="187">
        <f>U21/P21*100</f>
        <v>99.797893179091645</v>
      </c>
      <c r="W21" s="190"/>
      <c r="X21" s="190"/>
      <c r="Y21" s="189"/>
      <c r="Z21" s="189"/>
      <c r="AA21" s="189"/>
      <c r="AB21" s="190"/>
      <c r="AC21" s="190"/>
      <c r="AD21" s="191">
        <f>AD8+AD10+AD12+AD14+AD16+AD19</f>
        <v>988.23000000000684</v>
      </c>
      <c r="AE21" s="191"/>
      <c r="AF21" s="191"/>
      <c r="AG21" s="191"/>
      <c r="AH21" s="191"/>
      <c r="AI21" s="192"/>
    </row>
    <row r="22" spans="1:35" s="193" customFormat="1" x14ac:dyDescent="0.25">
      <c r="A22" s="192"/>
      <c r="B22" s="192" t="s">
        <v>44</v>
      </c>
      <c r="C22" s="194"/>
      <c r="D22" s="188"/>
      <c r="E22" s="187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7"/>
      <c r="U22" s="187"/>
      <c r="V22" s="187"/>
      <c r="W22" s="190"/>
      <c r="X22" s="190"/>
      <c r="Y22" s="189"/>
      <c r="Z22" s="189"/>
      <c r="AA22" s="189"/>
      <c r="AB22" s="190"/>
      <c r="AC22" s="190"/>
      <c r="AD22" s="191"/>
      <c r="AE22" s="191"/>
      <c r="AF22" s="191"/>
      <c r="AG22" s="191"/>
      <c r="AH22" s="191"/>
      <c r="AI22" s="192"/>
    </row>
    <row r="23" spans="1:35" s="197" customFormat="1" x14ac:dyDescent="0.25">
      <c r="A23" s="25"/>
      <c r="B23" s="195" t="s">
        <v>45</v>
      </c>
      <c r="C23" s="188"/>
      <c r="D23" s="188"/>
      <c r="E23" s="188"/>
      <c r="F23" s="189"/>
      <c r="G23" s="189"/>
      <c r="H23" s="189"/>
      <c r="I23" s="189"/>
      <c r="J23" s="189"/>
      <c r="K23" s="189"/>
      <c r="L23" s="189"/>
      <c r="M23" s="189"/>
      <c r="N23" s="189"/>
      <c r="O23" s="189">
        <f>O21</f>
        <v>423060.3</v>
      </c>
      <c r="P23" s="189">
        <f>P21</f>
        <v>488964.19999999995</v>
      </c>
      <c r="Q23" s="189">
        <f>Q21</f>
        <v>15.577897524300901</v>
      </c>
      <c r="R23" s="189"/>
      <c r="S23" s="189"/>
      <c r="T23" s="187">
        <f>T21</f>
        <v>488964.19999999995</v>
      </c>
      <c r="U23" s="187">
        <f>U21</f>
        <v>487975.97</v>
      </c>
      <c r="V23" s="187">
        <f>V21</f>
        <v>99.797893179091645</v>
      </c>
      <c r="W23" s="190"/>
      <c r="X23" s="190"/>
      <c r="Y23" s="189"/>
      <c r="Z23" s="189"/>
      <c r="AA23" s="189"/>
      <c r="AB23" s="190"/>
      <c r="AC23" s="190"/>
      <c r="AD23" s="189">
        <f>AD21</f>
        <v>988.23000000000684</v>
      </c>
      <c r="AE23" s="189"/>
      <c r="AF23" s="196"/>
      <c r="AG23" s="196"/>
      <c r="AH23" s="196"/>
      <c r="AI23" s="25"/>
    </row>
  </sheetData>
  <mergeCells count="218"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Q5:Q6"/>
    <mergeCell ref="R5:S5"/>
    <mergeCell ref="T5:T6"/>
    <mergeCell ref="U5:U6"/>
    <mergeCell ref="V5:V6"/>
    <mergeCell ref="W5:X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AA12:AA13"/>
    <mergeCell ref="AB12:AB13"/>
    <mergeCell ref="AC12:AC13"/>
    <mergeCell ref="AD12:AD13"/>
    <mergeCell ref="AE12:AE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D14:AD15"/>
    <mergeCell ref="AE14:AE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M16:M18"/>
    <mergeCell ref="N16:N18"/>
    <mergeCell ref="O16:O18"/>
    <mergeCell ref="P16:P18"/>
    <mergeCell ref="Q16:Q18"/>
    <mergeCell ref="R16:R18"/>
    <mergeCell ref="S16:S18"/>
    <mergeCell ref="T16:T18"/>
    <mergeCell ref="U16:U18"/>
    <mergeCell ref="V16:V18"/>
    <mergeCell ref="W16:W18"/>
    <mergeCell ref="X16:X18"/>
    <mergeCell ref="Y16:Y18"/>
    <mergeCell ref="Z16:Z18"/>
    <mergeCell ref="AA16:AA18"/>
    <mergeCell ref="AB16:AB18"/>
    <mergeCell ref="AC16:AC18"/>
    <mergeCell ref="AD16:AD18"/>
    <mergeCell ref="AE16:AE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AD19:AD20"/>
    <mergeCell ref="AE19:AE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</mergeCells>
  <pageMargins left="0.7" right="0.7" top="0.75" bottom="0.75" header="0.3" footer="0.51180555555555496"/>
  <pageSetup paperSize="8" scale="36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E5B6F"/>
    <pageSetUpPr fitToPage="1"/>
  </sheetPr>
  <dimension ref="A1:AMK22"/>
  <sheetViews>
    <sheetView view="pageBreakPreview" zoomScale="85" zoomScaleNormal="70" zoomScalePageLayoutView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M17" sqref="M17"/>
    </sheetView>
  </sheetViews>
  <sheetFormatPr defaultRowHeight="15" x14ac:dyDescent="0.25"/>
  <cols>
    <col min="1" max="1" width="13.85546875" style="1" customWidth="1"/>
    <col min="2" max="2" width="18.42578125" style="2" customWidth="1"/>
    <col min="3" max="3" width="15.5703125" style="3" customWidth="1"/>
    <col min="4" max="4" width="8.42578125" style="4" customWidth="1"/>
    <col min="5" max="5" width="13" style="5" customWidth="1"/>
    <col min="6" max="6" width="13.7109375" style="3" customWidth="1"/>
    <col min="7" max="7" width="11" style="3" customWidth="1"/>
    <col min="8" max="8" width="14.7109375" style="3" customWidth="1"/>
    <col min="9" max="10" width="11.42578125" style="3" customWidth="1"/>
    <col min="11" max="11" width="12.140625" style="3" customWidth="1"/>
    <col min="12" max="12" width="11.5703125" style="3" customWidth="1"/>
    <col min="13" max="14" width="6.5703125" style="3" customWidth="1"/>
    <col min="15" max="16" width="13.28515625" style="3" customWidth="1"/>
    <col min="17" max="17" width="15.28515625" style="3" customWidth="1"/>
    <col min="18" max="19" width="11.5703125" style="6" customWidth="1"/>
    <col min="20" max="21" width="11.28515625" style="3" customWidth="1"/>
    <col min="22" max="22" width="11.42578125" style="3" customWidth="1"/>
    <col min="23" max="24" width="6.85546875" style="3" customWidth="1"/>
    <col min="25" max="25" width="13.5703125" style="7" customWidth="1"/>
    <col min="26" max="26" width="11.140625" style="7" customWidth="1"/>
    <col min="27" max="27" width="15.28515625" style="3" customWidth="1"/>
    <col min="28" max="29" width="11.42578125" style="3" customWidth="1"/>
    <col min="30" max="31" width="13.28515625" style="3" customWidth="1"/>
    <col min="32" max="32" width="25.28515625" style="2" customWidth="1"/>
    <col min="33" max="34" width="11.7109375" style="3" customWidth="1"/>
    <col min="35" max="35" width="11.42578125" style="3" customWidth="1"/>
    <col min="36" max="1025" width="8.85546875" style="3" customWidth="1"/>
  </cols>
  <sheetData>
    <row r="1" spans="1:35" s="343" customFormat="1" ht="32.1" customHeight="1" x14ac:dyDescent="0.4">
      <c r="A1" s="357" t="s">
        <v>46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</row>
    <row r="2" spans="1:35" s="3" customFormat="1" ht="20.25" x14ac:dyDescent="0.25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</row>
    <row r="3" spans="1:35" s="2" customFormat="1" ht="29.25" customHeight="1" x14ac:dyDescent="0.25">
      <c r="A3" s="348" t="s">
        <v>1</v>
      </c>
      <c r="B3" s="348" t="s">
        <v>2</v>
      </c>
      <c r="C3" s="348" t="s">
        <v>3</v>
      </c>
      <c r="D3" s="348" t="s">
        <v>4</v>
      </c>
      <c r="E3" s="348" t="s">
        <v>5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9" t="s">
        <v>6</v>
      </c>
      <c r="Z3" s="349"/>
      <c r="AA3" s="349"/>
      <c r="AB3" s="349"/>
      <c r="AC3" s="349"/>
      <c r="AD3" s="348" t="s">
        <v>7</v>
      </c>
      <c r="AE3" s="348" t="s">
        <v>8</v>
      </c>
      <c r="AF3" s="348" t="s">
        <v>9</v>
      </c>
      <c r="AG3" s="348"/>
      <c r="AH3" s="348"/>
      <c r="AI3" s="348"/>
    </row>
    <row r="4" spans="1:35" s="2" customFormat="1" ht="17.649999999999999" customHeight="1" x14ac:dyDescent="0.25">
      <c r="A4" s="348"/>
      <c r="B4" s="348"/>
      <c r="C4" s="348"/>
      <c r="D4" s="348"/>
      <c r="E4" s="350" t="s">
        <v>10</v>
      </c>
      <c r="F4" s="350"/>
      <c r="G4" s="350"/>
      <c r="H4" s="350"/>
      <c r="I4" s="350"/>
      <c r="J4" s="350"/>
      <c r="K4" s="350"/>
      <c r="L4" s="350"/>
      <c r="M4" s="350"/>
      <c r="N4" s="350"/>
      <c r="O4" s="351" t="s">
        <v>11</v>
      </c>
      <c r="P4" s="351"/>
      <c r="Q4" s="351"/>
      <c r="R4" s="351"/>
      <c r="S4" s="351"/>
      <c r="T4" s="351"/>
      <c r="U4" s="351"/>
      <c r="V4" s="351"/>
      <c r="W4" s="351"/>
      <c r="X4" s="351"/>
      <c r="Y4" s="346" t="s">
        <v>12</v>
      </c>
      <c r="Z4" s="346" t="s">
        <v>13</v>
      </c>
      <c r="AA4" s="346" t="s">
        <v>14</v>
      </c>
      <c r="AB4" s="346" t="s">
        <v>15</v>
      </c>
      <c r="AC4" s="346"/>
      <c r="AD4" s="348"/>
      <c r="AE4" s="348"/>
      <c r="AF4" s="348"/>
      <c r="AG4" s="348"/>
      <c r="AH4" s="348"/>
      <c r="AI4" s="348"/>
    </row>
    <row r="5" spans="1:35" s="2" customFormat="1" ht="108" customHeight="1" x14ac:dyDescent="0.25">
      <c r="A5" s="348"/>
      <c r="B5" s="348"/>
      <c r="C5" s="348"/>
      <c r="D5" s="348"/>
      <c r="E5" s="346" t="s">
        <v>16</v>
      </c>
      <c r="F5" s="346" t="s">
        <v>17</v>
      </c>
      <c r="G5" s="346" t="s">
        <v>18</v>
      </c>
      <c r="H5" s="346" t="s">
        <v>19</v>
      </c>
      <c r="I5" s="346" t="s">
        <v>20</v>
      </c>
      <c r="J5" s="346"/>
      <c r="K5" s="346" t="s">
        <v>21</v>
      </c>
      <c r="L5" s="346" t="s">
        <v>22</v>
      </c>
      <c r="M5" s="346" t="s">
        <v>23</v>
      </c>
      <c r="N5" s="346"/>
      <c r="O5" s="346" t="s">
        <v>24</v>
      </c>
      <c r="P5" s="346" t="s">
        <v>25</v>
      </c>
      <c r="Q5" s="346" t="s">
        <v>26</v>
      </c>
      <c r="R5" s="356" t="s">
        <v>27</v>
      </c>
      <c r="S5" s="356"/>
      <c r="T5" s="346" t="s">
        <v>307</v>
      </c>
      <c r="U5" s="346" t="s">
        <v>28</v>
      </c>
      <c r="V5" s="346" t="s">
        <v>29</v>
      </c>
      <c r="W5" s="346" t="s">
        <v>23</v>
      </c>
      <c r="X5" s="346"/>
      <c r="Y5" s="346"/>
      <c r="Z5" s="346"/>
      <c r="AA5" s="346"/>
      <c r="AB5" s="346"/>
      <c r="AC5" s="346"/>
      <c r="AD5" s="348"/>
      <c r="AE5" s="348"/>
      <c r="AF5" s="348"/>
      <c r="AG5" s="348"/>
      <c r="AH5" s="348"/>
      <c r="AI5" s="348"/>
    </row>
    <row r="6" spans="1:35" s="2" customFormat="1" ht="91.5" customHeight="1" x14ac:dyDescent="0.25">
      <c r="A6" s="348"/>
      <c r="B6" s="348"/>
      <c r="C6" s="348"/>
      <c r="D6" s="348"/>
      <c r="E6" s="346"/>
      <c r="F6" s="346"/>
      <c r="G6" s="346"/>
      <c r="H6" s="346"/>
      <c r="I6" s="10" t="s">
        <v>30</v>
      </c>
      <c r="J6" s="11" t="s">
        <v>31</v>
      </c>
      <c r="K6" s="346"/>
      <c r="L6" s="346"/>
      <c r="M6" s="10" t="s">
        <v>32</v>
      </c>
      <c r="N6" s="11" t="s">
        <v>33</v>
      </c>
      <c r="O6" s="346"/>
      <c r="P6" s="346"/>
      <c r="Q6" s="346"/>
      <c r="R6" s="10" t="s">
        <v>34</v>
      </c>
      <c r="S6" s="11" t="s">
        <v>31</v>
      </c>
      <c r="T6" s="346"/>
      <c r="U6" s="346"/>
      <c r="V6" s="346"/>
      <c r="W6" s="10" t="s">
        <v>32</v>
      </c>
      <c r="X6" s="11" t="s">
        <v>33</v>
      </c>
      <c r="Y6" s="346"/>
      <c r="Z6" s="346"/>
      <c r="AA6" s="346"/>
      <c r="AB6" s="12" t="s">
        <v>30</v>
      </c>
      <c r="AC6" s="12" t="s">
        <v>31</v>
      </c>
      <c r="AD6" s="348"/>
      <c r="AE6" s="348"/>
      <c r="AF6" s="12" t="s">
        <v>35</v>
      </c>
      <c r="AG6" s="12" t="s">
        <v>36</v>
      </c>
      <c r="AH6" s="12" t="s">
        <v>37</v>
      </c>
      <c r="AI6" s="12" t="s">
        <v>38</v>
      </c>
    </row>
    <row r="7" spans="1:35" s="14" customFormat="1" x14ac:dyDescent="0.25">
      <c r="A7" s="9">
        <v>1</v>
      </c>
      <c r="B7" s="9">
        <v>2</v>
      </c>
      <c r="C7" s="9">
        <v>3</v>
      </c>
      <c r="D7" s="8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9">
        <v>24</v>
      </c>
      <c r="Y7" s="9">
        <v>25</v>
      </c>
      <c r="Z7" s="9">
        <v>26</v>
      </c>
      <c r="AA7" s="9">
        <v>27</v>
      </c>
      <c r="AB7" s="9">
        <v>28</v>
      </c>
      <c r="AC7" s="9">
        <v>29</v>
      </c>
      <c r="AD7" s="9">
        <v>30</v>
      </c>
      <c r="AE7" s="9">
        <v>31</v>
      </c>
      <c r="AF7" s="9">
        <v>32</v>
      </c>
      <c r="AG7" s="9">
        <v>33</v>
      </c>
      <c r="AH7" s="9">
        <v>34</v>
      </c>
      <c r="AI7" s="13">
        <v>35</v>
      </c>
    </row>
    <row r="8" spans="1:35" s="213" customFormat="1" ht="45.75" customHeight="1" x14ac:dyDescent="0.25">
      <c r="A8" s="358" t="s">
        <v>222</v>
      </c>
      <c r="B8" s="360" t="s">
        <v>211</v>
      </c>
      <c r="C8" s="362" t="s">
        <v>41</v>
      </c>
      <c r="D8" s="362">
        <v>1</v>
      </c>
      <c r="E8" s="362" t="s">
        <v>84</v>
      </c>
      <c r="F8" s="364">
        <v>2552</v>
      </c>
      <c r="G8" s="364">
        <v>2599</v>
      </c>
      <c r="H8" s="366">
        <f>((G8-F8)/F8)*100</f>
        <v>1.8416927899686519</v>
      </c>
      <c r="I8" s="362">
        <v>0</v>
      </c>
      <c r="J8" s="362">
        <v>0</v>
      </c>
      <c r="K8" s="364">
        <v>2599</v>
      </c>
      <c r="L8" s="368">
        <f>K8/G8*100</f>
        <v>100</v>
      </c>
      <c r="M8" s="362"/>
      <c r="N8" s="362"/>
      <c r="O8" s="370">
        <v>24424</v>
      </c>
      <c r="P8" s="370">
        <v>23384.7</v>
      </c>
      <c r="Q8" s="368">
        <f>((P8-O8)/O8)*100</f>
        <v>-4.2552407468064173</v>
      </c>
      <c r="R8" s="362"/>
      <c r="S8" s="362"/>
      <c r="T8" s="370">
        <v>23305.15</v>
      </c>
      <c r="U8" s="370">
        <v>23277.4</v>
      </c>
      <c r="V8" s="368">
        <f t="shared" ref="V8" si="0">U8/P8*100</f>
        <v>99.541152976091212</v>
      </c>
      <c r="W8" s="362"/>
      <c r="X8" s="362"/>
      <c r="Y8" s="366">
        <f>O8/F8*100</f>
        <v>957.05329153605021</v>
      </c>
      <c r="Z8" s="366">
        <f>P8/G8*100</f>
        <v>899.75759907656789</v>
      </c>
      <c r="AA8" s="366">
        <v>9.1013113177953677</v>
      </c>
      <c r="AB8" s="362"/>
      <c r="AC8" s="362"/>
      <c r="AD8" s="368">
        <f>T8-U8</f>
        <v>27.75</v>
      </c>
      <c r="AE8" s="362">
        <v>100</v>
      </c>
      <c r="AF8" s="273" t="s">
        <v>220</v>
      </c>
      <c r="AG8" s="277">
        <v>3</v>
      </c>
      <c r="AH8" s="278">
        <v>11</v>
      </c>
      <c r="AI8" s="274">
        <f>AH8/AG8*100</f>
        <v>366.66666666666663</v>
      </c>
    </row>
    <row r="9" spans="1:35" s="213" customFormat="1" ht="45.75" customHeight="1" x14ac:dyDescent="0.25">
      <c r="A9" s="359"/>
      <c r="B9" s="361"/>
      <c r="C9" s="363"/>
      <c r="D9" s="363"/>
      <c r="E9" s="363"/>
      <c r="F9" s="365"/>
      <c r="G9" s="365"/>
      <c r="H9" s="367"/>
      <c r="I9" s="363"/>
      <c r="J9" s="363"/>
      <c r="K9" s="365"/>
      <c r="L9" s="369"/>
      <c r="M9" s="363"/>
      <c r="N9" s="363"/>
      <c r="O9" s="371"/>
      <c r="P9" s="371"/>
      <c r="Q9" s="369"/>
      <c r="R9" s="363"/>
      <c r="S9" s="363"/>
      <c r="T9" s="371"/>
      <c r="U9" s="371"/>
      <c r="V9" s="369"/>
      <c r="W9" s="363"/>
      <c r="X9" s="363"/>
      <c r="Y9" s="367"/>
      <c r="Z9" s="367"/>
      <c r="AA9" s="367"/>
      <c r="AB9" s="363"/>
      <c r="AC9" s="363"/>
      <c r="AD9" s="369"/>
      <c r="AE9" s="363"/>
      <c r="AF9" s="273" t="s">
        <v>221</v>
      </c>
      <c r="AG9" s="277">
        <v>8</v>
      </c>
      <c r="AH9" s="278">
        <v>2</v>
      </c>
      <c r="AI9" s="274">
        <f>AH9/AG9*100</f>
        <v>25</v>
      </c>
    </row>
    <row r="10" spans="1:35" s="222" customFormat="1" x14ac:dyDescent="0.25">
      <c r="A10" s="214"/>
      <c r="B10" s="255" t="s">
        <v>43</v>
      </c>
      <c r="C10" s="216"/>
      <c r="D10" s="217"/>
      <c r="E10" s="218"/>
      <c r="F10" s="218"/>
      <c r="G10" s="218"/>
      <c r="H10" s="244"/>
      <c r="I10" s="218"/>
      <c r="J10" s="218"/>
      <c r="K10" s="218"/>
      <c r="L10" s="244"/>
      <c r="M10" s="218"/>
      <c r="N10" s="218"/>
      <c r="O10" s="245">
        <f>O8</f>
        <v>24424</v>
      </c>
      <c r="P10" s="245">
        <f>P8</f>
        <v>23384.7</v>
      </c>
      <c r="Q10" s="245">
        <f>(P10-O10)/O10*100</f>
        <v>-4.2552407468064173</v>
      </c>
      <c r="R10" s="218"/>
      <c r="S10" s="218"/>
      <c r="T10" s="245">
        <f>T8</f>
        <v>23305.15</v>
      </c>
      <c r="U10" s="245">
        <f>U8</f>
        <v>23277.4</v>
      </c>
      <c r="V10" s="245">
        <f>U10/P10*100</f>
        <v>99.541152976091212</v>
      </c>
      <c r="W10" s="218"/>
      <c r="X10" s="218"/>
      <c r="Y10" s="218"/>
      <c r="Z10" s="218"/>
      <c r="AA10" s="218"/>
      <c r="AB10" s="218"/>
      <c r="AC10" s="218"/>
      <c r="AD10" s="246">
        <f>T10-U10</f>
        <v>27.75</v>
      </c>
      <c r="AE10" s="245"/>
      <c r="AF10" s="220"/>
      <c r="AG10" s="219"/>
      <c r="AH10" s="220"/>
      <c r="AI10" s="221"/>
    </row>
    <row r="11" spans="1:35" s="222" customFormat="1" x14ac:dyDescent="0.25">
      <c r="A11" s="214"/>
      <c r="B11" s="255" t="s">
        <v>45</v>
      </c>
      <c r="C11" s="218"/>
      <c r="D11" s="218"/>
      <c r="E11" s="218"/>
      <c r="F11" s="247"/>
      <c r="G11" s="247"/>
      <c r="H11" s="247"/>
      <c r="I11" s="247"/>
      <c r="J11" s="247"/>
      <c r="K11" s="247"/>
      <c r="L11" s="247"/>
      <c r="M11" s="247"/>
      <c r="N11" s="247"/>
      <c r="O11" s="248">
        <f>SUM(O10:O10)</f>
        <v>24424</v>
      </c>
      <c r="P11" s="248">
        <f>SUM(P10:P10)</f>
        <v>23384.7</v>
      </c>
      <c r="Q11" s="245">
        <f>(P11-O11)/O11*100</f>
        <v>-4.2552407468064173</v>
      </c>
      <c r="R11" s="249"/>
      <c r="S11" s="249"/>
      <c r="T11" s="248">
        <f>SUM(T10:T10)</f>
        <v>23305.15</v>
      </c>
      <c r="U11" s="248">
        <f>SUM(U10:U10)</f>
        <v>23277.4</v>
      </c>
      <c r="V11" s="248">
        <f>U11/P11*100</f>
        <v>99.541152976091212</v>
      </c>
      <c r="W11" s="249"/>
      <c r="X11" s="249"/>
      <c r="Y11" s="249"/>
      <c r="Z11" s="249"/>
      <c r="AA11" s="249"/>
      <c r="AB11" s="249"/>
      <c r="AC11" s="249"/>
      <c r="AD11" s="248">
        <f>SUM(AD10:AD10)</f>
        <v>27.75</v>
      </c>
      <c r="AE11" s="248"/>
      <c r="AF11" s="251"/>
      <c r="AG11" s="275"/>
      <c r="AH11" s="275"/>
      <c r="AI11" s="276"/>
    </row>
    <row r="12" spans="1:35" s="199" customFormat="1" x14ac:dyDescent="0.25">
      <c r="A12" s="1"/>
      <c r="D12" s="208"/>
      <c r="E12" s="202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9"/>
      <c r="S12" s="209"/>
      <c r="T12" s="204"/>
      <c r="U12" s="204"/>
      <c r="V12" s="204"/>
      <c r="W12" s="204"/>
      <c r="X12" s="204"/>
      <c r="Y12" s="203"/>
      <c r="Z12" s="203"/>
      <c r="AA12" s="204"/>
      <c r="AB12" s="204"/>
      <c r="AC12" s="204"/>
      <c r="AD12" s="204"/>
      <c r="AE12" s="204"/>
      <c r="AF12" s="204"/>
    </row>
    <row r="13" spans="1:35" s="199" customFormat="1" x14ac:dyDescent="0.25">
      <c r="A13" s="1"/>
      <c r="D13" s="208"/>
      <c r="E13" s="202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9"/>
      <c r="S13" s="209"/>
      <c r="T13" s="204"/>
      <c r="U13" s="204"/>
      <c r="V13" s="204"/>
      <c r="W13" s="204"/>
      <c r="X13" s="204"/>
      <c r="Y13" s="203"/>
      <c r="Z13" s="203"/>
      <c r="AA13" s="204"/>
      <c r="AB13" s="204"/>
      <c r="AC13" s="204"/>
      <c r="AD13" s="204"/>
      <c r="AE13" s="204"/>
      <c r="AF13" s="204"/>
    </row>
    <row r="14" spans="1:35" s="199" customFormat="1" x14ac:dyDescent="0.25">
      <c r="A14" s="1"/>
      <c r="D14" s="208"/>
      <c r="E14" s="202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9"/>
      <c r="S14" s="209"/>
      <c r="T14" s="204"/>
      <c r="U14" s="204"/>
      <c r="V14" s="204"/>
      <c r="W14" s="204"/>
      <c r="X14" s="204"/>
      <c r="Y14" s="203"/>
      <c r="Z14" s="203"/>
      <c r="AA14" s="204"/>
      <c r="AB14" s="204"/>
      <c r="AC14" s="204"/>
      <c r="AD14" s="204"/>
      <c r="AE14" s="204"/>
      <c r="AF14" s="204"/>
    </row>
    <row r="15" spans="1:35" s="199" customFormat="1" x14ac:dyDescent="0.25">
      <c r="A15" s="1"/>
      <c r="D15" s="208"/>
      <c r="E15" s="202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9"/>
      <c r="S15" s="209"/>
      <c r="T15" s="204"/>
      <c r="U15" s="204"/>
      <c r="V15" s="204"/>
      <c r="W15" s="204"/>
      <c r="X15" s="204"/>
      <c r="Y15" s="203"/>
      <c r="Z15" s="203"/>
      <c r="AA15" s="204"/>
      <c r="AB15" s="204"/>
      <c r="AC15" s="204"/>
      <c r="AD15" s="204"/>
      <c r="AE15" s="204"/>
      <c r="AF15" s="204"/>
    </row>
    <row r="16" spans="1:35" s="199" customFormat="1" x14ac:dyDescent="0.25">
      <c r="A16" s="1"/>
      <c r="D16" s="208"/>
      <c r="E16" s="202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9"/>
      <c r="S16" s="209"/>
      <c r="T16" s="204"/>
      <c r="U16" s="204"/>
      <c r="V16" s="204"/>
      <c r="W16" s="204"/>
      <c r="X16" s="204"/>
      <c r="Y16" s="203"/>
      <c r="Z16" s="203"/>
      <c r="AA16" s="204"/>
      <c r="AB16" s="204"/>
      <c r="AC16" s="204"/>
      <c r="AD16" s="204"/>
      <c r="AE16" s="204"/>
      <c r="AF16" s="204"/>
    </row>
    <row r="17" spans="1:32" s="338" customFormat="1" ht="36" customHeight="1" x14ac:dyDescent="0.25">
      <c r="A17" s="352" t="s">
        <v>274</v>
      </c>
      <c r="B17" s="352"/>
      <c r="D17" s="339"/>
      <c r="E17" s="340"/>
      <c r="F17" s="354" t="s">
        <v>278</v>
      </c>
      <c r="G17" s="354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1"/>
      <c r="W17" s="340"/>
      <c r="X17" s="340"/>
      <c r="Y17" s="342"/>
      <c r="Z17" s="342"/>
      <c r="AA17" s="340"/>
      <c r="AB17" s="340"/>
      <c r="AC17" s="340"/>
      <c r="AD17" s="340"/>
      <c r="AE17" s="340"/>
      <c r="AF17" s="340"/>
    </row>
    <row r="18" spans="1:32" s="199" customFormat="1" x14ac:dyDescent="0.25">
      <c r="A18" s="1"/>
      <c r="D18" s="208" t="s">
        <v>277</v>
      </c>
      <c r="E18" s="204"/>
      <c r="F18" s="355" t="s">
        <v>279</v>
      </c>
      <c r="G18" s="355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9"/>
      <c r="W18" s="204"/>
      <c r="X18" s="204"/>
      <c r="Y18" s="203"/>
      <c r="Z18" s="203"/>
      <c r="AA18" s="204"/>
      <c r="AB18" s="204"/>
      <c r="AC18" s="204"/>
      <c r="AD18" s="204"/>
      <c r="AE18" s="204"/>
      <c r="AF18" s="204"/>
    </row>
    <row r="19" spans="1:32" s="199" customFormat="1" x14ac:dyDescent="0.25">
      <c r="A19" s="1"/>
      <c r="D19" s="208"/>
      <c r="E19" s="202"/>
      <c r="R19" s="210"/>
      <c r="S19" s="210"/>
      <c r="Y19" s="205"/>
      <c r="Z19" s="205"/>
    </row>
    <row r="20" spans="1:32" s="199" customFormat="1" x14ac:dyDescent="0.25">
      <c r="A20" s="353" t="s">
        <v>275</v>
      </c>
      <c r="B20" s="353"/>
      <c r="C20" s="353"/>
      <c r="D20" s="353"/>
      <c r="E20" s="353"/>
      <c r="F20" s="353"/>
      <c r="R20" s="210"/>
      <c r="S20" s="210"/>
      <c r="Y20" s="205"/>
      <c r="Z20" s="205"/>
    </row>
    <row r="21" spans="1:32" s="199" customFormat="1" x14ac:dyDescent="0.2">
      <c r="A21" s="310"/>
      <c r="B21" s="310"/>
      <c r="C21" s="310"/>
      <c r="D21" s="311"/>
      <c r="E21" s="311"/>
      <c r="F21" s="311"/>
      <c r="R21" s="210"/>
      <c r="S21" s="210"/>
      <c r="Y21" s="205"/>
      <c r="Z21" s="205"/>
    </row>
    <row r="22" spans="1:32" s="199" customFormat="1" x14ac:dyDescent="0.2">
      <c r="A22" s="353" t="s">
        <v>276</v>
      </c>
      <c r="B22" s="353"/>
      <c r="C22" s="353"/>
      <c r="D22" s="353"/>
      <c r="E22" s="353"/>
      <c r="F22" s="311"/>
      <c r="R22" s="210"/>
      <c r="S22" s="210"/>
      <c r="Y22" s="205"/>
      <c r="Z22" s="205"/>
    </row>
  </sheetData>
  <mergeCells count="68">
    <mergeCell ref="A17:B17"/>
    <mergeCell ref="A20:F20"/>
    <mergeCell ref="A22:E22"/>
    <mergeCell ref="F17:G17"/>
    <mergeCell ref="F18:G18"/>
    <mergeCell ref="AE8:AE9"/>
    <mergeCell ref="Z8:Z9"/>
    <mergeCell ref="AA8:AA9"/>
    <mergeCell ref="AB8:AB9"/>
    <mergeCell ref="AC8:AC9"/>
    <mergeCell ref="AD8:AD9"/>
    <mergeCell ref="U8:U9"/>
    <mergeCell ref="V8:V9"/>
    <mergeCell ref="W8:W9"/>
    <mergeCell ref="X8:X9"/>
    <mergeCell ref="Y8:Y9"/>
    <mergeCell ref="P8:P9"/>
    <mergeCell ref="Q8:Q9"/>
    <mergeCell ref="R8:R9"/>
    <mergeCell ref="S8:S9"/>
    <mergeCell ref="T8:T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J8:J9"/>
    <mergeCell ref="A8:A9"/>
    <mergeCell ref="B8:B9"/>
    <mergeCell ref="C8:C9"/>
    <mergeCell ref="D8:D9"/>
    <mergeCell ref="E8:E9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W5:X5"/>
    <mergeCell ref="Q5:Q6"/>
    <mergeCell ref="R5:S5"/>
    <mergeCell ref="T5:T6"/>
    <mergeCell ref="U5:U6"/>
    <mergeCell ref="V5:V6"/>
  </mergeCells>
  <pageMargins left="0.196527777777778" right="0.196527777777778" top="0.94513888888888897" bottom="0.15763888888888899" header="0.31527777777777799" footer="0.51180555555555496"/>
  <pageSetup paperSize="8" scale="47" firstPageNumber="0" fitToHeight="0" orientation="landscape" r:id="rId1"/>
  <headerFooter>
    <oddHeader>&amp;R&amp;"Times New Roman,Обычный"&amp;14&amp;P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D13B"/>
    <pageSetUpPr fitToPage="1"/>
  </sheetPr>
  <dimension ref="A1:AI44"/>
  <sheetViews>
    <sheetView view="pageBreakPreview" zoomScale="70" zoomScaleNormal="70" zoomScaleSheetLayoutView="70" zoomScalePageLayoutView="85" workbookViewId="0">
      <pane xSplit="2" ySplit="7" topLeftCell="K8" activePane="bottomRight" state="frozen"/>
      <selection pane="topRight" activeCell="C1" sqref="C1"/>
      <selection pane="bottomLeft" activeCell="A7" sqref="A7"/>
      <selection pane="bottomRight" activeCell="M16" sqref="M16"/>
    </sheetView>
  </sheetViews>
  <sheetFormatPr defaultRowHeight="15" x14ac:dyDescent="0.25"/>
  <cols>
    <col min="1" max="1" width="14" style="1" customWidth="1"/>
    <col min="2" max="2" width="24" style="2" customWidth="1"/>
    <col min="3" max="3" width="16.7109375" style="2" customWidth="1"/>
    <col min="4" max="4" width="9.5703125" style="234" customWidth="1"/>
    <col min="5" max="5" width="10.85546875" style="5" customWidth="1"/>
    <col min="6" max="6" width="13.7109375" style="2" customWidth="1"/>
    <col min="7" max="7" width="14.28515625" style="2" customWidth="1"/>
    <col min="8" max="8" width="16.42578125" style="2" customWidth="1"/>
    <col min="9" max="10" width="12.28515625" style="2" customWidth="1"/>
    <col min="11" max="11" width="13.85546875" style="2" customWidth="1"/>
    <col min="12" max="12" width="12.28515625" style="2" customWidth="1"/>
    <col min="13" max="14" width="7.42578125" style="2" customWidth="1"/>
    <col min="15" max="16" width="12.7109375" style="2" customWidth="1"/>
    <col min="17" max="17" width="15.140625" style="2" customWidth="1"/>
    <col min="18" max="19" width="11.85546875" style="235" customWidth="1"/>
    <col min="20" max="20" width="12.5703125" style="2" customWidth="1"/>
    <col min="21" max="21" width="12.28515625" style="2" customWidth="1"/>
    <col min="22" max="22" width="11.7109375" style="2" customWidth="1"/>
    <col min="23" max="24" width="6.85546875" style="2" customWidth="1"/>
    <col min="25" max="25" width="13.5703125" style="7" customWidth="1"/>
    <col min="26" max="26" width="12" style="7" customWidth="1"/>
    <col min="27" max="27" width="15" style="2" customWidth="1"/>
    <col min="28" max="29" width="11.7109375" style="2" customWidth="1"/>
    <col min="30" max="31" width="13.140625" style="2" customWidth="1"/>
    <col min="32" max="32" width="23" style="2" customWidth="1"/>
    <col min="33" max="34" width="11.85546875" style="2" customWidth="1"/>
    <col min="35" max="35" width="11.5703125" style="2" customWidth="1"/>
    <col min="36" max="1025" width="8.85546875" style="2" customWidth="1"/>
    <col min="1026" max="16384" width="9.140625" style="2"/>
  </cols>
  <sheetData>
    <row r="1" spans="1:35" s="344" customFormat="1" ht="32.1" customHeight="1" x14ac:dyDescent="0.25">
      <c r="A1" s="347" t="s">
        <v>47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</row>
    <row r="2" spans="1:35" ht="20.25" x14ac:dyDescent="0.25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</row>
    <row r="3" spans="1:35" ht="29.25" customHeight="1" x14ac:dyDescent="0.25">
      <c r="A3" s="348" t="s">
        <v>1</v>
      </c>
      <c r="B3" s="348" t="s">
        <v>2</v>
      </c>
      <c r="C3" s="348" t="s">
        <v>3</v>
      </c>
      <c r="D3" s="348" t="s">
        <v>4</v>
      </c>
      <c r="E3" s="348" t="s">
        <v>5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9" t="s">
        <v>6</v>
      </c>
      <c r="Z3" s="349"/>
      <c r="AA3" s="349"/>
      <c r="AB3" s="349"/>
      <c r="AC3" s="349"/>
      <c r="AD3" s="348" t="s">
        <v>7</v>
      </c>
      <c r="AE3" s="348" t="s">
        <v>8</v>
      </c>
      <c r="AF3" s="348" t="s">
        <v>9</v>
      </c>
      <c r="AG3" s="348"/>
      <c r="AH3" s="348"/>
      <c r="AI3" s="348"/>
    </row>
    <row r="4" spans="1:35" ht="17.649999999999999" customHeight="1" x14ac:dyDescent="0.25">
      <c r="A4" s="348"/>
      <c r="B4" s="348"/>
      <c r="C4" s="348"/>
      <c r="D4" s="348"/>
      <c r="E4" s="350" t="s">
        <v>10</v>
      </c>
      <c r="F4" s="350"/>
      <c r="G4" s="350"/>
      <c r="H4" s="350"/>
      <c r="I4" s="350"/>
      <c r="J4" s="350"/>
      <c r="K4" s="350"/>
      <c r="L4" s="350"/>
      <c r="M4" s="350"/>
      <c r="N4" s="350"/>
      <c r="O4" s="351" t="s">
        <v>11</v>
      </c>
      <c r="P4" s="351"/>
      <c r="Q4" s="351"/>
      <c r="R4" s="351"/>
      <c r="S4" s="351"/>
      <c r="T4" s="351"/>
      <c r="U4" s="351"/>
      <c r="V4" s="351"/>
      <c r="W4" s="351"/>
      <c r="X4" s="351"/>
      <c r="Y4" s="346" t="s">
        <v>12</v>
      </c>
      <c r="Z4" s="346" t="s">
        <v>13</v>
      </c>
      <c r="AA4" s="346" t="s">
        <v>14</v>
      </c>
      <c r="AB4" s="346" t="s">
        <v>15</v>
      </c>
      <c r="AC4" s="346"/>
      <c r="AD4" s="348"/>
      <c r="AE4" s="348"/>
      <c r="AF4" s="348"/>
      <c r="AG4" s="348"/>
      <c r="AH4" s="348"/>
      <c r="AI4" s="348"/>
    </row>
    <row r="5" spans="1:35" ht="108" customHeight="1" x14ac:dyDescent="0.25">
      <c r="A5" s="348"/>
      <c r="B5" s="348"/>
      <c r="C5" s="348"/>
      <c r="D5" s="348"/>
      <c r="E5" s="346" t="s">
        <v>16</v>
      </c>
      <c r="F5" s="346" t="s">
        <v>17</v>
      </c>
      <c r="G5" s="346" t="s">
        <v>18</v>
      </c>
      <c r="H5" s="346" t="s">
        <v>19</v>
      </c>
      <c r="I5" s="346" t="s">
        <v>20</v>
      </c>
      <c r="J5" s="346"/>
      <c r="K5" s="346" t="s">
        <v>21</v>
      </c>
      <c r="L5" s="346" t="s">
        <v>22</v>
      </c>
      <c r="M5" s="346" t="s">
        <v>23</v>
      </c>
      <c r="N5" s="346"/>
      <c r="O5" s="346" t="s">
        <v>24</v>
      </c>
      <c r="P5" s="346" t="s">
        <v>25</v>
      </c>
      <c r="Q5" s="346" t="s">
        <v>26</v>
      </c>
      <c r="R5" s="346" t="s">
        <v>27</v>
      </c>
      <c r="S5" s="346"/>
      <c r="T5" s="346" t="s">
        <v>307</v>
      </c>
      <c r="U5" s="346" t="s">
        <v>28</v>
      </c>
      <c r="V5" s="346" t="s">
        <v>29</v>
      </c>
      <c r="W5" s="346" t="s">
        <v>23</v>
      </c>
      <c r="X5" s="346"/>
      <c r="Y5" s="346"/>
      <c r="Z5" s="346"/>
      <c r="AA5" s="346"/>
      <c r="AB5" s="346"/>
      <c r="AC5" s="346"/>
      <c r="AD5" s="348"/>
      <c r="AE5" s="348"/>
      <c r="AF5" s="348"/>
      <c r="AG5" s="348"/>
      <c r="AH5" s="348"/>
      <c r="AI5" s="348"/>
    </row>
    <row r="6" spans="1:35" ht="91.5" customHeight="1" x14ac:dyDescent="0.25">
      <c r="A6" s="348"/>
      <c r="B6" s="348"/>
      <c r="C6" s="348"/>
      <c r="D6" s="348"/>
      <c r="E6" s="346"/>
      <c r="F6" s="346"/>
      <c r="G6" s="346"/>
      <c r="H6" s="346"/>
      <c r="I6" s="10" t="s">
        <v>30</v>
      </c>
      <c r="J6" s="11" t="s">
        <v>31</v>
      </c>
      <c r="K6" s="346"/>
      <c r="L6" s="346"/>
      <c r="M6" s="10" t="s">
        <v>32</v>
      </c>
      <c r="N6" s="11" t="s">
        <v>33</v>
      </c>
      <c r="O6" s="346"/>
      <c r="P6" s="346"/>
      <c r="Q6" s="346"/>
      <c r="R6" s="10" t="s">
        <v>34</v>
      </c>
      <c r="S6" s="11" t="s">
        <v>31</v>
      </c>
      <c r="T6" s="346"/>
      <c r="U6" s="346"/>
      <c r="V6" s="346"/>
      <c r="W6" s="10" t="s">
        <v>32</v>
      </c>
      <c r="X6" s="11" t="s">
        <v>33</v>
      </c>
      <c r="Y6" s="346"/>
      <c r="Z6" s="346"/>
      <c r="AA6" s="346"/>
      <c r="AB6" s="12" t="s">
        <v>30</v>
      </c>
      <c r="AC6" s="12" t="s">
        <v>31</v>
      </c>
      <c r="AD6" s="348"/>
      <c r="AE6" s="348"/>
      <c r="AF6" s="12" t="s">
        <v>35</v>
      </c>
      <c r="AG6" s="12" t="s">
        <v>36</v>
      </c>
      <c r="AH6" s="12" t="s">
        <v>37</v>
      </c>
      <c r="AI6" s="12" t="s">
        <v>38</v>
      </c>
    </row>
    <row r="7" spans="1:35" s="199" customFormat="1" x14ac:dyDescent="0.25">
      <c r="A7" s="211">
        <v>1</v>
      </c>
      <c r="B7" s="211">
        <v>2</v>
      </c>
      <c r="C7" s="211">
        <v>3</v>
      </c>
      <c r="D7" s="211">
        <v>4</v>
      </c>
      <c r="E7" s="211">
        <v>5</v>
      </c>
      <c r="F7" s="211">
        <v>6</v>
      </c>
      <c r="G7" s="211">
        <v>7</v>
      </c>
      <c r="H7" s="211">
        <v>8</v>
      </c>
      <c r="I7" s="211">
        <v>9</v>
      </c>
      <c r="J7" s="211">
        <v>10</v>
      </c>
      <c r="K7" s="211">
        <v>11</v>
      </c>
      <c r="L7" s="211">
        <v>12</v>
      </c>
      <c r="M7" s="211">
        <v>13</v>
      </c>
      <c r="N7" s="211">
        <v>14</v>
      </c>
      <c r="O7" s="211">
        <v>15</v>
      </c>
      <c r="P7" s="211">
        <v>16</v>
      </c>
      <c r="Q7" s="211">
        <v>17</v>
      </c>
      <c r="R7" s="211">
        <v>18</v>
      </c>
      <c r="S7" s="211">
        <v>19</v>
      </c>
      <c r="T7" s="211">
        <v>20</v>
      </c>
      <c r="U7" s="211">
        <v>21</v>
      </c>
      <c r="V7" s="211">
        <v>22</v>
      </c>
      <c r="W7" s="211">
        <v>23</v>
      </c>
      <c r="X7" s="211">
        <v>24</v>
      </c>
      <c r="Y7" s="211">
        <v>25</v>
      </c>
      <c r="Z7" s="211">
        <v>26</v>
      </c>
      <c r="AA7" s="211">
        <v>27</v>
      </c>
      <c r="AB7" s="211">
        <v>28</v>
      </c>
      <c r="AC7" s="211">
        <v>29</v>
      </c>
      <c r="AD7" s="211">
        <v>30</v>
      </c>
      <c r="AE7" s="211">
        <v>31</v>
      </c>
      <c r="AF7" s="211">
        <v>32</v>
      </c>
      <c r="AG7" s="211">
        <v>33</v>
      </c>
      <c r="AH7" s="211">
        <v>34</v>
      </c>
      <c r="AI7" s="206">
        <v>35</v>
      </c>
    </row>
    <row r="8" spans="1:35" s="232" customFormat="1" ht="76.5" x14ac:dyDescent="0.25">
      <c r="A8" s="358" t="s">
        <v>252</v>
      </c>
      <c r="B8" s="223" t="s">
        <v>223</v>
      </c>
      <c r="C8" s="224" t="s">
        <v>41</v>
      </c>
      <c r="D8" s="225">
        <v>1</v>
      </c>
      <c r="E8" s="226" t="s">
        <v>224</v>
      </c>
      <c r="F8" s="230">
        <v>1650</v>
      </c>
      <c r="G8" s="230">
        <v>1947</v>
      </c>
      <c r="H8" s="238">
        <f t="shared" ref="H8:H17" si="0">(G8-F8)/F8*100</f>
        <v>18</v>
      </c>
      <c r="I8" s="230">
        <v>1</v>
      </c>
      <c r="J8" s="230"/>
      <c r="K8" s="230">
        <v>1947</v>
      </c>
      <c r="L8" s="239">
        <f>K8/G8*100</f>
        <v>100</v>
      </c>
      <c r="M8" s="230"/>
      <c r="N8" s="230"/>
      <c r="O8" s="240">
        <v>1146.75</v>
      </c>
      <c r="P8" s="240">
        <v>1146.75</v>
      </c>
      <c r="Q8" s="244">
        <f t="shared" ref="Q8:Q10" si="1">(P8-O8)/O8*100</f>
        <v>0</v>
      </c>
      <c r="R8" s="230"/>
      <c r="S8" s="230"/>
      <c r="T8" s="279">
        <v>1146.75</v>
      </c>
      <c r="U8" s="279">
        <v>1146.75</v>
      </c>
      <c r="V8" s="279">
        <f t="shared" ref="V8:V9" si="2">T8/P8*100</f>
        <v>100</v>
      </c>
      <c r="W8" s="230"/>
      <c r="X8" s="230"/>
      <c r="Y8" s="231">
        <f t="shared" ref="Y8:Z10" si="3">O8/F8*1000</f>
        <v>695</v>
      </c>
      <c r="Z8" s="231">
        <f t="shared" si="3"/>
        <v>588.98305084745766</v>
      </c>
      <c r="AA8" s="258">
        <f>(Z8-Y8)/Y8*100</f>
        <v>-15.254237288135588</v>
      </c>
      <c r="AB8" s="230"/>
      <c r="AC8" s="230">
        <v>1</v>
      </c>
      <c r="AD8" s="242">
        <f>T8-U8</f>
        <v>0</v>
      </c>
      <c r="AE8" s="242">
        <v>100</v>
      </c>
      <c r="AF8" s="243" t="s">
        <v>254</v>
      </c>
      <c r="AG8" s="230">
        <v>1650</v>
      </c>
      <c r="AH8" s="230">
        <v>1650</v>
      </c>
      <c r="AI8" s="238">
        <f t="shared" ref="AI8" si="4">AH8/AG8*100</f>
        <v>100</v>
      </c>
    </row>
    <row r="9" spans="1:35" s="232" customFormat="1" ht="76.5" x14ac:dyDescent="0.25">
      <c r="A9" s="359"/>
      <c r="B9" s="223" t="s">
        <v>225</v>
      </c>
      <c r="C9" s="224" t="s">
        <v>41</v>
      </c>
      <c r="D9" s="225">
        <v>1</v>
      </c>
      <c r="E9" s="226" t="s">
        <v>224</v>
      </c>
      <c r="F9" s="230">
        <v>1650</v>
      </c>
      <c r="G9" s="230">
        <v>1947</v>
      </c>
      <c r="H9" s="238">
        <f t="shared" si="0"/>
        <v>18</v>
      </c>
      <c r="I9" s="230">
        <v>1</v>
      </c>
      <c r="J9" s="230"/>
      <c r="K9" s="230">
        <v>1947</v>
      </c>
      <c r="L9" s="239">
        <f t="shared" ref="L9" si="5">K9/G9*100</f>
        <v>100</v>
      </c>
      <c r="M9" s="230"/>
      <c r="N9" s="230"/>
      <c r="O9" s="241">
        <v>346.5</v>
      </c>
      <c r="P9" s="241">
        <v>346.5</v>
      </c>
      <c r="Q9" s="244">
        <f t="shared" si="1"/>
        <v>0</v>
      </c>
      <c r="R9" s="230"/>
      <c r="S9" s="230"/>
      <c r="T9" s="279">
        <v>346.5</v>
      </c>
      <c r="U9" s="279">
        <v>346.5</v>
      </c>
      <c r="V9" s="279">
        <f t="shared" si="2"/>
        <v>100</v>
      </c>
      <c r="W9" s="230"/>
      <c r="X9" s="230"/>
      <c r="Y9" s="231">
        <f t="shared" si="3"/>
        <v>210</v>
      </c>
      <c r="Z9" s="231">
        <f t="shared" si="3"/>
        <v>177.96610169491524</v>
      </c>
      <c r="AA9" s="258">
        <f t="shared" ref="AA9:AA10" si="6">(Z9-Y9)/Y9*100</f>
        <v>-15.254237288135601</v>
      </c>
      <c r="AB9" s="230"/>
      <c r="AC9" s="230">
        <v>1</v>
      </c>
      <c r="AD9" s="242">
        <f>T9-U9</f>
        <v>0</v>
      </c>
      <c r="AE9" s="242">
        <v>100</v>
      </c>
      <c r="AF9" s="243" t="s">
        <v>250</v>
      </c>
      <c r="AG9" s="230">
        <v>1650</v>
      </c>
      <c r="AH9" s="230">
        <v>1650</v>
      </c>
      <c r="AI9" s="238">
        <f t="shared" ref="AI9" si="7">AH9/AG9*100</f>
        <v>100</v>
      </c>
    </row>
    <row r="10" spans="1:35" s="232" customFormat="1" ht="120" x14ac:dyDescent="0.25">
      <c r="A10" s="359"/>
      <c r="B10" s="223" t="s">
        <v>226</v>
      </c>
      <c r="C10" s="224" t="s">
        <v>41</v>
      </c>
      <c r="D10" s="225">
        <v>1</v>
      </c>
      <c r="E10" s="226" t="s">
        <v>224</v>
      </c>
      <c r="F10" s="230">
        <v>100</v>
      </c>
      <c r="G10" s="230">
        <v>100</v>
      </c>
      <c r="H10" s="238">
        <f t="shared" si="0"/>
        <v>0</v>
      </c>
      <c r="I10" s="230"/>
      <c r="J10" s="230"/>
      <c r="K10" s="230">
        <v>100</v>
      </c>
      <c r="L10" s="239">
        <v>100</v>
      </c>
      <c r="M10" s="230"/>
      <c r="N10" s="230"/>
      <c r="O10" s="241">
        <v>20</v>
      </c>
      <c r="P10" s="241">
        <v>20</v>
      </c>
      <c r="Q10" s="244">
        <f t="shared" si="1"/>
        <v>0</v>
      </c>
      <c r="R10" s="230"/>
      <c r="S10" s="230"/>
      <c r="T10" s="279">
        <v>20</v>
      </c>
      <c r="U10" s="279">
        <v>20</v>
      </c>
      <c r="V10" s="279">
        <v>100</v>
      </c>
      <c r="W10" s="230"/>
      <c r="X10" s="230"/>
      <c r="Y10" s="231">
        <f t="shared" si="3"/>
        <v>200</v>
      </c>
      <c r="Z10" s="231">
        <f t="shared" si="3"/>
        <v>200</v>
      </c>
      <c r="AA10" s="258">
        <f t="shared" si="6"/>
        <v>0</v>
      </c>
      <c r="AB10" s="230"/>
      <c r="AC10" s="230"/>
      <c r="AD10" s="242">
        <f>T10-U10</f>
        <v>0</v>
      </c>
      <c r="AE10" s="242">
        <v>100</v>
      </c>
      <c r="AF10" s="230" t="s">
        <v>251</v>
      </c>
      <c r="AG10" s="230">
        <v>100</v>
      </c>
      <c r="AH10" s="230">
        <v>100</v>
      </c>
      <c r="AI10" s="238">
        <v>100</v>
      </c>
    </row>
    <row r="11" spans="1:35" s="232" customFormat="1" ht="105" x14ac:dyDescent="0.25">
      <c r="A11" s="359"/>
      <c r="B11" s="223" t="s">
        <v>227</v>
      </c>
      <c r="C11" s="224" t="s">
        <v>41</v>
      </c>
      <c r="D11" s="225">
        <v>1</v>
      </c>
      <c r="E11" s="226" t="s">
        <v>228</v>
      </c>
      <c r="F11" s="230">
        <v>5.5</v>
      </c>
      <c r="G11" s="230">
        <v>5.5</v>
      </c>
      <c r="H11" s="238">
        <f t="shared" si="0"/>
        <v>0</v>
      </c>
      <c r="I11" s="230"/>
      <c r="J11" s="230"/>
      <c r="K11" s="230">
        <v>5.5</v>
      </c>
      <c r="L11" s="239">
        <v>100</v>
      </c>
      <c r="M11" s="230"/>
      <c r="N11" s="230"/>
      <c r="O11" s="392">
        <v>3265.38</v>
      </c>
      <c r="P11" s="392">
        <v>3565.38</v>
      </c>
      <c r="Q11" s="394">
        <v>9.1</v>
      </c>
      <c r="R11" s="372"/>
      <c r="S11" s="372">
        <v>1</v>
      </c>
      <c r="T11" s="389">
        <v>3565.38</v>
      </c>
      <c r="U11" s="389">
        <v>3515.7</v>
      </c>
      <c r="V11" s="389">
        <v>100</v>
      </c>
      <c r="W11" s="372"/>
      <c r="X11" s="372"/>
      <c r="Y11" s="392">
        <f>O11/(F11+F12+F13+F14+F15+F16+F17)*1000</f>
        <v>3.8139633213009887</v>
      </c>
      <c r="Z11" s="392">
        <f>P11/(G11+G12+G13+G14+G15+G16+G17)*1000</f>
        <v>4.1629191738332665</v>
      </c>
      <c r="AA11" s="380">
        <f>(Z11-Y11)/Y11*100</f>
        <v>9.1494286424664608</v>
      </c>
      <c r="AB11" s="372"/>
      <c r="AC11" s="372"/>
      <c r="AD11" s="378">
        <f>T11-U11</f>
        <v>49.680000000000291</v>
      </c>
      <c r="AE11" s="383">
        <v>100</v>
      </c>
      <c r="AF11" s="372" t="s">
        <v>253</v>
      </c>
      <c r="AG11" s="372">
        <v>100</v>
      </c>
      <c r="AH11" s="372">
        <v>100</v>
      </c>
      <c r="AI11" s="375">
        <v>100</v>
      </c>
    </row>
    <row r="12" spans="1:35" s="232" customFormat="1" ht="48.75" customHeight="1" x14ac:dyDescent="0.25">
      <c r="A12" s="359"/>
      <c r="B12" s="223" t="s">
        <v>229</v>
      </c>
      <c r="C12" s="224" t="s">
        <v>41</v>
      </c>
      <c r="D12" s="225">
        <v>1</v>
      </c>
      <c r="E12" s="226" t="s">
        <v>42</v>
      </c>
      <c r="F12" s="230">
        <v>8784</v>
      </c>
      <c r="G12" s="230">
        <v>8784</v>
      </c>
      <c r="H12" s="238">
        <f t="shared" si="0"/>
        <v>0</v>
      </c>
      <c r="I12" s="230"/>
      <c r="J12" s="230"/>
      <c r="K12" s="230">
        <v>8784</v>
      </c>
      <c r="L12" s="239">
        <v>100</v>
      </c>
      <c r="M12" s="230"/>
      <c r="N12" s="230"/>
      <c r="O12" s="396"/>
      <c r="P12" s="396"/>
      <c r="Q12" s="398"/>
      <c r="R12" s="373"/>
      <c r="S12" s="373"/>
      <c r="T12" s="390"/>
      <c r="U12" s="390"/>
      <c r="V12" s="390"/>
      <c r="W12" s="373"/>
      <c r="X12" s="373"/>
      <c r="Y12" s="396"/>
      <c r="Z12" s="396"/>
      <c r="AA12" s="381"/>
      <c r="AB12" s="373"/>
      <c r="AC12" s="373"/>
      <c r="AD12" s="386"/>
      <c r="AE12" s="384"/>
      <c r="AF12" s="373"/>
      <c r="AG12" s="373"/>
      <c r="AH12" s="373"/>
      <c r="AI12" s="376"/>
    </row>
    <row r="13" spans="1:35" s="232" customFormat="1" ht="62.25" customHeight="1" x14ac:dyDescent="0.25">
      <c r="A13" s="359"/>
      <c r="B13" s="223" t="s">
        <v>230</v>
      </c>
      <c r="C13" s="224" t="s">
        <v>41</v>
      </c>
      <c r="D13" s="225">
        <v>1</v>
      </c>
      <c r="E13" s="226" t="s">
        <v>231</v>
      </c>
      <c r="F13" s="230">
        <v>110</v>
      </c>
      <c r="G13" s="230">
        <v>110</v>
      </c>
      <c r="H13" s="238">
        <f t="shared" si="0"/>
        <v>0</v>
      </c>
      <c r="I13" s="230"/>
      <c r="J13" s="230"/>
      <c r="K13" s="230">
        <v>110</v>
      </c>
      <c r="L13" s="239">
        <v>100</v>
      </c>
      <c r="M13" s="230"/>
      <c r="N13" s="230"/>
      <c r="O13" s="396"/>
      <c r="P13" s="396"/>
      <c r="Q13" s="398"/>
      <c r="R13" s="373"/>
      <c r="S13" s="373"/>
      <c r="T13" s="390"/>
      <c r="U13" s="390"/>
      <c r="V13" s="390"/>
      <c r="W13" s="373"/>
      <c r="X13" s="373"/>
      <c r="Y13" s="396"/>
      <c r="Z13" s="396"/>
      <c r="AA13" s="381"/>
      <c r="AB13" s="373"/>
      <c r="AC13" s="373"/>
      <c r="AD13" s="386"/>
      <c r="AE13" s="384"/>
      <c r="AF13" s="373"/>
      <c r="AG13" s="373"/>
      <c r="AH13" s="373"/>
      <c r="AI13" s="376"/>
    </row>
    <row r="14" spans="1:35" s="232" customFormat="1" ht="59.25" customHeight="1" x14ac:dyDescent="0.25">
      <c r="A14" s="359"/>
      <c r="B14" s="223" t="s">
        <v>232</v>
      </c>
      <c r="C14" s="224" t="s">
        <v>41</v>
      </c>
      <c r="D14" s="225">
        <v>1</v>
      </c>
      <c r="E14" s="226" t="s">
        <v>224</v>
      </c>
      <c r="F14" s="230">
        <v>59415</v>
      </c>
      <c r="G14" s="230">
        <v>59712</v>
      </c>
      <c r="H14" s="238">
        <f t="shared" si="0"/>
        <v>0.49987376925018934</v>
      </c>
      <c r="I14" s="230"/>
      <c r="J14" s="230"/>
      <c r="K14" s="230">
        <v>59712</v>
      </c>
      <c r="L14" s="239">
        <v>100</v>
      </c>
      <c r="M14" s="230"/>
      <c r="N14" s="230"/>
      <c r="O14" s="396"/>
      <c r="P14" s="396"/>
      <c r="Q14" s="398"/>
      <c r="R14" s="373"/>
      <c r="S14" s="373"/>
      <c r="T14" s="390"/>
      <c r="U14" s="390"/>
      <c r="V14" s="390"/>
      <c r="W14" s="373"/>
      <c r="X14" s="373"/>
      <c r="Y14" s="396"/>
      <c r="Z14" s="396"/>
      <c r="AA14" s="381"/>
      <c r="AB14" s="373"/>
      <c r="AC14" s="373"/>
      <c r="AD14" s="386"/>
      <c r="AE14" s="384"/>
      <c r="AF14" s="373"/>
      <c r="AG14" s="373"/>
      <c r="AH14" s="373"/>
      <c r="AI14" s="376"/>
    </row>
    <row r="15" spans="1:35" s="232" customFormat="1" ht="57.75" customHeight="1" x14ac:dyDescent="0.25">
      <c r="A15" s="359"/>
      <c r="B15" s="223" t="s">
        <v>233</v>
      </c>
      <c r="C15" s="224" t="s">
        <v>41</v>
      </c>
      <c r="D15" s="225">
        <v>1</v>
      </c>
      <c r="E15" s="226" t="s">
        <v>224</v>
      </c>
      <c r="F15" s="230">
        <v>200</v>
      </c>
      <c r="G15" s="230">
        <v>200</v>
      </c>
      <c r="H15" s="238">
        <f t="shared" si="0"/>
        <v>0</v>
      </c>
      <c r="I15" s="230"/>
      <c r="J15" s="230"/>
      <c r="K15" s="230">
        <v>200</v>
      </c>
      <c r="L15" s="239">
        <v>100</v>
      </c>
      <c r="M15" s="230"/>
      <c r="N15" s="230"/>
      <c r="O15" s="393"/>
      <c r="P15" s="393"/>
      <c r="Q15" s="395"/>
      <c r="R15" s="374"/>
      <c r="S15" s="374"/>
      <c r="T15" s="391"/>
      <c r="U15" s="391"/>
      <c r="V15" s="391"/>
      <c r="W15" s="374"/>
      <c r="X15" s="374"/>
      <c r="Y15" s="393"/>
      <c r="Z15" s="393"/>
      <c r="AA15" s="382"/>
      <c r="AB15" s="374"/>
      <c r="AC15" s="374"/>
      <c r="AD15" s="379"/>
      <c r="AE15" s="385"/>
      <c r="AF15" s="373"/>
      <c r="AG15" s="373"/>
      <c r="AH15" s="373"/>
      <c r="AI15" s="376"/>
    </row>
    <row r="16" spans="1:35" s="232" customFormat="1" ht="60" x14ac:dyDescent="0.25">
      <c r="A16" s="359"/>
      <c r="B16" s="223" t="s">
        <v>234</v>
      </c>
      <c r="C16" s="224" t="s">
        <v>41</v>
      </c>
      <c r="D16" s="225">
        <v>1</v>
      </c>
      <c r="E16" s="226" t="s">
        <v>235</v>
      </c>
      <c r="F16" s="230">
        <v>784000</v>
      </c>
      <c r="G16" s="230">
        <v>784000</v>
      </c>
      <c r="H16" s="238">
        <f t="shared" si="0"/>
        <v>0</v>
      </c>
      <c r="I16" s="230"/>
      <c r="J16" s="230"/>
      <c r="K16" s="230">
        <v>784000</v>
      </c>
      <c r="L16" s="239">
        <v>100</v>
      </c>
      <c r="M16" s="230"/>
      <c r="N16" s="230"/>
      <c r="O16" s="392">
        <v>1482.37</v>
      </c>
      <c r="P16" s="392">
        <v>2552.37</v>
      </c>
      <c r="Q16" s="394">
        <v>72.2</v>
      </c>
      <c r="R16" s="372">
        <v>1</v>
      </c>
      <c r="S16" s="372"/>
      <c r="T16" s="389">
        <v>2552.37</v>
      </c>
      <c r="U16" s="389">
        <v>2552.37</v>
      </c>
      <c r="V16" s="389">
        <v>100</v>
      </c>
      <c r="W16" s="372"/>
      <c r="X16" s="372"/>
      <c r="Y16" s="366">
        <f>O16/(F16+F17)*1000</f>
        <v>1.8820161239129054</v>
      </c>
      <c r="Z16" s="366">
        <f>P16/(G16+G17)*1000</f>
        <v>3.2404875261854884</v>
      </c>
      <c r="AA16" s="380">
        <f>(Z16-Y16)/Y16*100</f>
        <v>72.181709020015248</v>
      </c>
      <c r="AB16" s="372">
        <v>1</v>
      </c>
      <c r="AC16" s="372"/>
      <c r="AD16" s="378">
        <f>T16-U16</f>
        <v>0</v>
      </c>
      <c r="AE16" s="378">
        <v>100</v>
      </c>
      <c r="AF16" s="373"/>
      <c r="AG16" s="373"/>
      <c r="AH16" s="373"/>
      <c r="AI16" s="376"/>
    </row>
    <row r="17" spans="1:35" s="232" customFormat="1" ht="60" x14ac:dyDescent="0.25">
      <c r="A17" s="387"/>
      <c r="B17" s="223" t="s">
        <v>236</v>
      </c>
      <c r="C17" s="224" t="s">
        <v>41</v>
      </c>
      <c r="D17" s="225">
        <v>1</v>
      </c>
      <c r="E17" s="226" t="s">
        <v>231</v>
      </c>
      <c r="F17" s="230">
        <v>3650</v>
      </c>
      <c r="G17" s="230">
        <v>3650</v>
      </c>
      <c r="H17" s="238">
        <f t="shared" si="0"/>
        <v>0</v>
      </c>
      <c r="I17" s="230"/>
      <c r="J17" s="230"/>
      <c r="K17" s="230">
        <v>3650</v>
      </c>
      <c r="L17" s="239">
        <v>100</v>
      </c>
      <c r="M17" s="230"/>
      <c r="N17" s="230"/>
      <c r="O17" s="393"/>
      <c r="P17" s="393"/>
      <c r="Q17" s="395"/>
      <c r="R17" s="374"/>
      <c r="S17" s="374"/>
      <c r="T17" s="391"/>
      <c r="U17" s="391"/>
      <c r="V17" s="391"/>
      <c r="W17" s="374"/>
      <c r="X17" s="374"/>
      <c r="Y17" s="397"/>
      <c r="Z17" s="397"/>
      <c r="AA17" s="382"/>
      <c r="AB17" s="374"/>
      <c r="AC17" s="374"/>
      <c r="AD17" s="379"/>
      <c r="AE17" s="379"/>
      <c r="AF17" s="374"/>
      <c r="AG17" s="374"/>
      <c r="AH17" s="374"/>
      <c r="AI17" s="377"/>
    </row>
    <row r="18" spans="1:35" s="233" customFormat="1" x14ac:dyDescent="0.25">
      <c r="A18" s="214"/>
      <c r="B18" s="215" t="s">
        <v>43</v>
      </c>
      <c r="C18" s="216"/>
      <c r="D18" s="217"/>
      <c r="E18" s="218"/>
      <c r="F18" s="218"/>
      <c r="G18" s="218"/>
      <c r="H18" s="244"/>
      <c r="I18" s="218"/>
      <c r="J18" s="218"/>
      <c r="K18" s="218"/>
      <c r="L18" s="244"/>
      <c r="M18" s="218"/>
      <c r="N18" s="218"/>
      <c r="O18" s="245">
        <f>SUM(O8:O17)</f>
        <v>6261</v>
      </c>
      <c r="P18" s="245">
        <f>SUM(P8:P17)</f>
        <v>7631</v>
      </c>
      <c r="Q18" s="218">
        <f>(P18-O18)/O18*100</f>
        <v>21.881488580099028</v>
      </c>
      <c r="R18" s="218"/>
      <c r="S18" s="218"/>
      <c r="T18" s="218">
        <f t="shared" ref="T18:U18" si="8">SUM(T8:T16)</f>
        <v>7631</v>
      </c>
      <c r="U18" s="218">
        <f t="shared" si="8"/>
        <v>7581.32</v>
      </c>
      <c r="V18" s="218">
        <f>U18/P18*100</f>
        <v>99.348971301271121</v>
      </c>
      <c r="W18" s="218"/>
      <c r="X18" s="218"/>
      <c r="Y18" s="247"/>
      <c r="Z18" s="247"/>
      <c r="AA18" s="247"/>
      <c r="AB18" s="218"/>
      <c r="AC18" s="218"/>
      <c r="AD18" s="246">
        <f>T18-U18</f>
        <v>49.680000000000291</v>
      </c>
      <c r="AE18" s="245"/>
      <c r="AF18" s="229"/>
      <c r="AG18" s="219"/>
      <c r="AH18" s="229"/>
      <c r="AI18" s="236"/>
    </row>
    <row r="19" spans="1:35" s="233" customFormat="1" hidden="1" x14ac:dyDescent="0.25">
      <c r="A19" s="214"/>
      <c r="B19" s="215" t="s">
        <v>44</v>
      </c>
      <c r="C19" s="216"/>
      <c r="D19" s="218"/>
      <c r="E19" s="218"/>
      <c r="F19" s="247"/>
      <c r="G19" s="247"/>
      <c r="H19" s="247"/>
      <c r="I19" s="247"/>
      <c r="J19" s="247"/>
      <c r="K19" s="247"/>
      <c r="L19" s="247"/>
      <c r="M19" s="247"/>
      <c r="N19" s="247"/>
      <c r="O19" s="248"/>
      <c r="P19" s="248"/>
      <c r="Q19" s="218" t="e">
        <f>(P19-O19)/O19*100</f>
        <v>#DIV/0!</v>
      </c>
      <c r="R19" s="249"/>
      <c r="S19" s="249"/>
      <c r="T19" s="280"/>
      <c r="U19" s="280"/>
      <c r="V19" s="280" t="e">
        <f>U19/P19*100</f>
        <v>#DIV/0!</v>
      </c>
      <c r="W19" s="249"/>
      <c r="X19" s="249"/>
      <c r="Y19" s="281"/>
      <c r="Z19" s="281"/>
      <c r="AA19" s="281"/>
      <c r="AB19" s="249"/>
      <c r="AC19" s="249"/>
      <c r="AD19" s="246">
        <f>T19-U19</f>
        <v>0</v>
      </c>
      <c r="AE19" s="250"/>
      <c r="AF19" s="251"/>
      <c r="AG19" s="251"/>
      <c r="AH19" s="251"/>
      <c r="AI19" s="252"/>
    </row>
    <row r="20" spans="1:35" s="233" customFormat="1" ht="32.25" hidden="1" customHeight="1" x14ac:dyDescent="0.25">
      <c r="A20" s="214"/>
      <c r="B20" s="215" t="s">
        <v>45</v>
      </c>
      <c r="C20" s="218"/>
      <c r="D20" s="218"/>
      <c r="E20" s="218"/>
      <c r="F20" s="247"/>
      <c r="G20" s="247"/>
      <c r="H20" s="247"/>
      <c r="I20" s="247"/>
      <c r="J20" s="247"/>
      <c r="K20" s="247"/>
      <c r="L20" s="247"/>
      <c r="M20" s="247"/>
      <c r="N20" s="247"/>
      <c r="O20" s="248">
        <f>SUM(O18:O19)</f>
        <v>6261</v>
      </c>
      <c r="P20" s="248">
        <f>SUM(P18:P19)</f>
        <v>7631</v>
      </c>
      <c r="Q20" s="218">
        <f>(P20-O20)/O20*100</f>
        <v>21.881488580099028</v>
      </c>
      <c r="R20" s="249"/>
      <c r="S20" s="249"/>
      <c r="T20" s="280">
        <f>SUM(T18:T19)</f>
        <v>7631</v>
      </c>
      <c r="U20" s="280">
        <f>SUM(U18:U19)</f>
        <v>7581.32</v>
      </c>
      <c r="V20" s="280">
        <f>U20/P20*100</f>
        <v>99.348971301271121</v>
      </c>
      <c r="W20" s="249"/>
      <c r="X20" s="249"/>
      <c r="Y20" s="281"/>
      <c r="Z20" s="281"/>
      <c r="AA20" s="281"/>
      <c r="AB20" s="249"/>
      <c r="AC20" s="249"/>
      <c r="AD20" s="248">
        <f>SUM(AD18:AD19)</f>
        <v>49.680000000000291</v>
      </c>
      <c r="AE20" s="248"/>
      <c r="AF20" s="251"/>
      <c r="AG20" s="251"/>
      <c r="AH20" s="251"/>
      <c r="AI20" s="252"/>
    </row>
    <row r="21" spans="1:35" s="232" customFormat="1" ht="45" customHeight="1" x14ac:dyDescent="0.25">
      <c r="A21" s="362">
        <v>732</v>
      </c>
      <c r="B21" s="223" t="s">
        <v>237</v>
      </c>
      <c r="C21" s="224" t="s">
        <v>41</v>
      </c>
      <c r="D21" s="225">
        <v>1</v>
      </c>
      <c r="E21" s="226" t="s">
        <v>235</v>
      </c>
      <c r="F21" s="253">
        <v>463414.29</v>
      </c>
      <c r="G21" s="253">
        <v>463414.29</v>
      </c>
      <c r="H21" s="238">
        <f t="shared" ref="H21:H30" si="9">(G21-F21)/F21*100</f>
        <v>0</v>
      </c>
      <c r="I21" s="230"/>
      <c r="J21" s="230"/>
      <c r="K21" s="254">
        <v>463414.29</v>
      </c>
      <c r="L21" s="239">
        <f t="shared" ref="L21:L30" si="10">K21/G21*100</f>
        <v>100</v>
      </c>
      <c r="M21" s="230"/>
      <c r="N21" s="230"/>
      <c r="O21" s="399">
        <v>36223</v>
      </c>
      <c r="P21" s="399">
        <v>36604.400000000001</v>
      </c>
      <c r="Q21" s="394">
        <f t="shared" ref="Q21" si="11">(P21-O21)/O21*100</f>
        <v>1.0529221765176862</v>
      </c>
      <c r="R21" s="372"/>
      <c r="S21" s="372"/>
      <c r="T21" s="389">
        <v>36414.199999999997</v>
      </c>
      <c r="U21" s="389">
        <v>36337.4</v>
      </c>
      <c r="V21" s="389">
        <f t="shared" ref="V21" si="12">T21/P21*100</f>
        <v>99.480390335588069</v>
      </c>
      <c r="W21" s="372"/>
      <c r="X21" s="372"/>
      <c r="Y21" s="392">
        <f>O21/(F21+F22+F23+F24+F25+F26+F27+F28+F29+F30)*1000</f>
        <v>42.336709603038209</v>
      </c>
      <c r="Z21" s="392">
        <f>P21/(G21+G22+G23+G24+G25+G26+G27+G28+G29+G30)*1000</f>
        <v>42.782482207256486</v>
      </c>
      <c r="AA21" s="405">
        <f>(Z21-Y21)/Y21*100</f>
        <v>1.0529221765176739</v>
      </c>
      <c r="AB21" s="372"/>
      <c r="AC21" s="372"/>
      <c r="AD21" s="378">
        <f>T21-U21</f>
        <v>76.799999999995634</v>
      </c>
      <c r="AE21" s="378" t="s">
        <v>238</v>
      </c>
      <c r="AF21" s="408" t="s">
        <v>239</v>
      </c>
      <c r="AG21" s="372">
        <v>100</v>
      </c>
      <c r="AH21" s="372">
        <v>100</v>
      </c>
      <c r="AI21" s="402">
        <f>AH21/AG21*100</f>
        <v>100</v>
      </c>
    </row>
    <row r="22" spans="1:35" s="232" customFormat="1" ht="45" customHeight="1" x14ac:dyDescent="0.25">
      <c r="A22" s="363"/>
      <c r="B22" s="223" t="s">
        <v>237</v>
      </c>
      <c r="C22" s="224" t="s">
        <v>41</v>
      </c>
      <c r="D22" s="225">
        <v>1</v>
      </c>
      <c r="E22" s="226" t="s">
        <v>240</v>
      </c>
      <c r="F22" s="253">
        <v>133308.79999999999</v>
      </c>
      <c r="G22" s="253">
        <v>133308.79999999999</v>
      </c>
      <c r="H22" s="238">
        <f t="shared" si="9"/>
        <v>0</v>
      </c>
      <c r="I22" s="230"/>
      <c r="J22" s="230"/>
      <c r="K22" s="254">
        <v>133308.79999999999</v>
      </c>
      <c r="L22" s="239">
        <f t="shared" si="10"/>
        <v>100</v>
      </c>
      <c r="M22" s="230"/>
      <c r="N22" s="230"/>
      <c r="O22" s="400"/>
      <c r="P22" s="400"/>
      <c r="Q22" s="398"/>
      <c r="R22" s="373"/>
      <c r="S22" s="373"/>
      <c r="T22" s="390"/>
      <c r="U22" s="390"/>
      <c r="V22" s="390"/>
      <c r="W22" s="373"/>
      <c r="X22" s="373"/>
      <c r="Y22" s="396"/>
      <c r="Z22" s="396"/>
      <c r="AA22" s="406"/>
      <c r="AB22" s="373"/>
      <c r="AC22" s="373"/>
      <c r="AD22" s="386"/>
      <c r="AE22" s="386"/>
      <c r="AF22" s="409"/>
      <c r="AG22" s="373"/>
      <c r="AH22" s="373"/>
      <c r="AI22" s="403"/>
    </row>
    <row r="23" spans="1:35" s="232" customFormat="1" ht="45" customHeight="1" x14ac:dyDescent="0.25">
      <c r="A23" s="363"/>
      <c r="B23" s="223" t="s">
        <v>237</v>
      </c>
      <c r="C23" s="224" t="s">
        <v>41</v>
      </c>
      <c r="D23" s="225">
        <v>1</v>
      </c>
      <c r="E23" s="226" t="s">
        <v>224</v>
      </c>
      <c r="F23" s="253">
        <v>1438</v>
      </c>
      <c r="G23" s="253">
        <v>1438</v>
      </c>
      <c r="H23" s="238">
        <f t="shared" si="9"/>
        <v>0</v>
      </c>
      <c r="I23" s="230"/>
      <c r="J23" s="230"/>
      <c r="K23" s="254">
        <v>1479</v>
      </c>
      <c r="L23" s="239">
        <f t="shared" si="10"/>
        <v>102.85118219749651</v>
      </c>
      <c r="M23" s="230"/>
      <c r="N23" s="230"/>
      <c r="O23" s="400"/>
      <c r="P23" s="400"/>
      <c r="Q23" s="398"/>
      <c r="R23" s="373"/>
      <c r="S23" s="373"/>
      <c r="T23" s="390"/>
      <c r="U23" s="390"/>
      <c r="V23" s="390"/>
      <c r="W23" s="373"/>
      <c r="X23" s="373"/>
      <c r="Y23" s="396"/>
      <c r="Z23" s="396"/>
      <c r="AA23" s="406"/>
      <c r="AB23" s="373"/>
      <c r="AC23" s="373"/>
      <c r="AD23" s="386"/>
      <c r="AE23" s="386"/>
      <c r="AF23" s="409"/>
      <c r="AG23" s="373"/>
      <c r="AH23" s="373"/>
      <c r="AI23" s="403"/>
    </row>
    <row r="24" spans="1:35" s="232" customFormat="1" ht="45" customHeight="1" x14ac:dyDescent="0.25">
      <c r="A24" s="363"/>
      <c r="B24" s="223" t="s">
        <v>241</v>
      </c>
      <c r="C24" s="224" t="s">
        <v>41</v>
      </c>
      <c r="D24" s="225">
        <v>1</v>
      </c>
      <c r="E24" s="226" t="s">
        <v>235</v>
      </c>
      <c r="F24" s="253">
        <v>203430.69</v>
      </c>
      <c r="G24" s="253">
        <v>203430.69</v>
      </c>
      <c r="H24" s="238">
        <f t="shared" si="9"/>
        <v>0</v>
      </c>
      <c r="I24" s="230"/>
      <c r="J24" s="230"/>
      <c r="K24" s="254">
        <v>256548.69</v>
      </c>
      <c r="L24" s="239">
        <f t="shared" si="10"/>
        <v>126.11110447494427</v>
      </c>
      <c r="M24" s="230">
        <v>1</v>
      </c>
      <c r="N24" s="230"/>
      <c r="O24" s="400"/>
      <c r="P24" s="400"/>
      <c r="Q24" s="398"/>
      <c r="R24" s="373"/>
      <c r="S24" s="373"/>
      <c r="T24" s="390"/>
      <c r="U24" s="390"/>
      <c r="V24" s="390"/>
      <c r="W24" s="373"/>
      <c r="X24" s="373"/>
      <c r="Y24" s="396"/>
      <c r="Z24" s="396"/>
      <c r="AA24" s="406"/>
      <c r="AB24" s="373"/>
      <c r="AC24" s="373"/>
      <c r="AD24" s="386"/>
      <c r="AE24" s="386"/>
      <c r="AF24" s="409"/>
      <c r="AG24" s="373"/>
      <c r="AH24" s="373"/>
      <c r="AI24" s="403"/>
    </row>
    <row r="25" spans="1:35" s="232" customFormat="1" ht="41.25" customHeight="1" x14ac:dyDescent="0.25">
      <c r="A25" s="363"/>
      <c r="B25" s="223" t="s">
        <v>241</v>
      </c>
      <c r="C25" s="224" t="s">
        <v>41</v>
      </c>
      <c r="D25" s="225">
        <v>1</v>
      </c>
      <c r="E25" s="226" t="s">
        <v>240</v>
      </c>
      <c r="F25" s="253">
        <v>32473.4</v>
      </c>
      <c r="G25" s="253">
        <v>32473.4</v>
      </c>
      <c r="H25" s="238">
        <f t="shared" si="9"/>
        <v>0</v>
      </c>
      <c r="I25" s="230"/>
      <c r="J25" s="230"/>
      <c r="K25" s="254">
        <v>37559.4</v>
      </c>
      <c r="L25" s="239">
        <f t="shared" si="10"/>
        <v>115.66204955440453</v>
      </c>
      <c r="M25" s="230">
        <v>1</v>
      </c>
      <c r="N25" s="230"/>
      <c r="O25" s="400"/>
      <c r="P25" s="400"/>
      <c r="Q25" s="398"/>
      <c r="R25" s="373"/>
      <c r="S25" s="373"/>
      <c r="T25" s="390"/>
      <c r="U25" s="390"/>
      <c r="V25" s="390"/>
      <c r="W25" s="373"/>
      <c r="X25" s="373"/>
      <c r="Y25" s="396"/>
      <c r="Z25" s="396"/>
      <c r="AA25" s="406"/>
      <c r="AB25" s="373"/>
      <c r="AC25" s="373"/>
      <c r="AD25" s="386"/>
      <c r="AE25" s="386"/>
      <c r="AF25" s="409"/>
      <c r="AG25" s="373"/>
      <c r="AH25" s="373"/>
      <c r="AI25" s="403"/>
    </row>
    <row r="26" spans="1:35" s="232" customFormat="1" ht="45.75" customHeight="1" x14ac:dyDescent="0.25">
      <c r="A26" s="363"/>
      <c r="B26" s="223" t="s">
        <v>241</v>
      </c>
      <c r="C26" s="224" t="s">
        <v>41</v>
      </c>
      <c r="D26" s="225">
        <v>1</v>
      </c>
      <c r="E26" s="226" t="s">
        <v>224</v>
      </c>
      <c r="F26" s="253">
        <v>820</v>
      </c>
      <c r="G26" s="253">
        <v>820</v>
      </c>
      <c r="H26" s="238">
        <f t="shared" si="9"/>
        <v>0</v>
      </c>
      <c r="I26" s="230"/>
      <c r="J26" s="230"/>
      <c r="K26" s="254">
        <v>820</v>
      </c>
      <c r="L26" s="239">
        <f t="shared" si="10"/>
        <v>100</v>
      </c>
      <c r="M26" s="230"/>
      <c r="N26" s="230"/>
      <c r="O26" s="400"/>
      <c r="P26" s="400"/>
      <c r="Q26" s="398"/>
      <c r="R26" s="373"/>
      <c r="S26" s="373"/>
      <c r="T26" s="390"/>
      <c r="U26" s="390"/>
      <c r="V26" s="390"/>
      <c r="W26" s="373"/>
      <c r="X26" s="373"/>
      <c r="Y26" s="396"/>
      <c r="Z26" s="396"/>
      <c r="AA26" s="406"/>
      <c r="AB26" s="373"/>
      <c r="AC26" s="373"/>
      <c r="AD26" s="386"/>
      <c r="AE26" s="386"/>
      <c r="AF26" s="409"/>
      <c r="AG26" s="373"/>
      <c r="AH26" s="373"/>
      <c r="AI26" s="403"/>
    </row>
    <row r="27" spans="1:35" s="232" customFormat="1" ht="30" x14ac:dyDescent="0.25">
      <c r="A27" s="363"/>
      <c r="B27" s="223" t="s">
        <v>242</v>
      </c>
      <c r="C27" s="224" t="s">
        <v>41</v>
      </c>
      <c r="D27" s="225">
        <v>1</v>
      </c>
      <c r="E27" s="226" t="s">
        <v>224</v>
      </c>
      <c r="F27" s="253">
        <v>2344</v>
      </c>
      <c r="G27" s="253">
        <v>2344</v>
      </c>
      <c r="H27" s="238">
        <f t="shared" si="9"/>
        <v>0</v>
      </c>
      <c r="I27" s="230"/>
      <c r="J27" s="230"/>
      <c r="K27" s="254">
        <v>3417</v>
      </c>
      <c r="L27" s="239">
        <f t="shared" si="10"/>
        <v>145.7764505119454</v>
      </c>
      <c r="M27" s="230">
        <v>1</v>
      </c>
      <c r="N27" s="230"/>
      <c r="O27" s="400"/>
      <c r="P27" s="400"/>
      <c r="Q27" s="398"/>
      <c r="R27" s="373"/>
      <c r="S27" s="373"/>
      <c r="T27" s="390"/>
      <c r="U27" s="390"/>
      <c r="V27" s="390"/>
      <c r="W27" s="373"/>
      <c r="X27" s="373"/>
      <c r="Y27" s="396"/>
      <c r="Z27" s="396"/>
      <c r="AA27" s="406"/>
      <c r="AB27" s="373"/>
      <c r="AC27" s="373"/>
      <c r="AD27" s="386"/>
      <c r="AE27" s="386"/>
      <c r="AF27" s="409"/>
      <c r="AG27" s="373"/>
      <c r="AH27" s="373"/>
      <c r="AI27" s="403"/>
    </row>
    <row r="28" spans="1:35" s="232" customFormat="1" ht="30" x14ac:dyDescent="0.25">
      <c r="A28" s="363"/>
      <c r="B28" s="223" t="s">
        <v>242</v>
      </c>
      <c r="C28" s="224" t="s">
        <v>41</v>
      </c>
      <c r="D28" s="225">
        <v>1</v>
      </c>
      <c r="E28" s="226" t="s">
        <v>235</v>
      </c>
      <c r="F28" s="253">
        <v>10640</v>
      </c>
      <c r="G28" s="253">
        <v>10640</v>
      </c>
      <c r="H28" s="238">
        <f t="shared" si="9"/>
        <v>0</v>
      </c>
      <c r="I28" s="230"/>
      <c r="J28" s="230"/>
      <c r="K28" s="254">
        <v>14321</v>
      </c>
      <c r="L28" s="239">
        <f t="shared" si="10"/>
        <v>134.59586466165413</v>
      </c>
      <c r="M28" s="230">
        <v>1</v>
      </c>
      <c r="N28" s="230"/>
      <c r="O28" s="400"/>
      <c r="P28" s="400"/>
      <c r="Q28" s="398"/>
      <c r="R28" s="373"/>
      <c r="S28" s="373"/>
      <c r="T28" s="390"/>
      <c r="U28" s="390"/>
      <c r="V28" s="390"/>
      <c r="W28" s="373"/>
      <c r="X28" s="373"/>
      <c r="Y28" s="396"/>
      <c r="Z28" s="396"/>
      <c r="AA28" s="406"/>
      <c r="AB28" s="373"/>
      <c r="AC28" s="373"/>
      <c r="AD28" s="386"/>
      <c r="AE28" s="386"/>
      <c r="AF28" s="409"/>
      <c r="AG28" s="373"/>
      <c r="AH28" s="373"/>
      <c r="AI28" s="403"/>
    </row>
    <row r="29" spans="1:35" s="232" customFormat="1" ht="30" x14ac:dyDescent="0.25">
      <c r="A29" s="363"/>
      <c r="B29" s="223" t="s">
        <v>243</v>
      </c>
      <c r="C29" s="224" t="s">
        <v>41</v>
      </c>
      <c r="D29" s="225">
        <v>1</v>
      </c>
      <c r="E29" s="226" t="s">
        <v>224</v>
      </c>
      <c r="F29" s="253">
        <v>2319</v>
      </c>
      <c r="G29" s="253">
        <v>2319</v>
      </c>
      <c r="H29" s="238">
        <f t="shared" si="9"/>
        <v>0</v>
      </c>
      <c r="I29" s="230"/>
      <c r="J29" s="230"/>
      <c r="K29" s="254">
        <v>2319</v>
      </c>
      <c r="L29" s="239">
        <f t="shared" si="10"/>
        <v>100</v>
      </c>
      <c r="M29" s="230"/>
      <c r="N29" s="230"/>
      <c r="O29" s="400"/>
      <c r="P29" s="400"/>
      <c r="Q29" s="398"/>
      <c r="R29" s="373"/>
      <c r="S29" s="373"/>
      <c r="T29" s="390"/>
      <c r="U29" s="390"/>
      <c r="V29" s="390"/>
      <c r="W29" s="373"/>
      <c r="X29" s="373"/>
      <c r="Y29" s="396"/>
      <c r="Z29" s="396"/>
      <c r="AA29" s="406"/>
      <c r="AB29" s="373"/>
      <c r="AC29" s="373"/>
      <c r="AD29" s="386"/>
      <c r="AE29" s="386"/>
      <c r="AF29" s="409"/>
      <c r="AG29" s="373"/>
      <c r="AH29" s="373"/>
      <c r="AI29" s="403"/>
    </row>
    <row r="30" spans="1:35" s="232" customFormat="1" ht="30" x14ac:dyDescent="0.25">
      <c r="A30" s="388"/>
      <c r="B30" s="223" t="s">
        <v>243</v>
      </c>
      <c r="C30" s="224" t="s">
        <v>41</v>
      </c>
      <c r="D30" s="225">
        <v>1</v>
      </c>
      <c r="E30" s="226" t="s">
        <v>235</v>
      </c>
      <c r="F30" s="253">
        <v>5405</v>
      </c>
      <c r="G30" s="253">
        <v>5405</v>
      </c>
      <c r="H30" s="238">
        <f t="shared" si="9"/>
        <v>0</v>
      </c>
      <c r="I30" s="230"/>
      <c r="J30" s="230"/>
      <c r="K30" s="254">
        <v>7404.8</v>
      </c>
      <c r="L30" s="239">
        <f t="shared" si="10"/>
        <v>136.9990749306198</v>
      </c>
      <c r="M30" s="230">
        <v>1</v>
      </c>
      <c r="N30" s="230"/>
      <c r="O30" s="401"/>
      <c r="P30" s="401"/>
      <c r="Q30" s="395"/>
      <c r="R30" s="374"/>
      <c r="S30" s="374"/>
      <c r="T30" s="391"/>
      <c r="U30" s="391"/>
      <c r="V30" s="391"/>
      <c r="W30" s="374"/>
      <c r="X30" s="374"/>
      <c r="Y30" s="393"/>
      <c r="Z30" s="393"/>
      <c r="AA30" s="407"/>
      <c r="AB30" s="374"/>
      <c r="AC30" s="374"/>
      <c r="AD30" s="379"/>
      <c r="AE30" s="379"/>
      <c r="AF30" s="410"/>
      <c r="AG30" s="374"/>
      <c r="AH30" s="374"/>
      <c r="AI30" s="404"/>
    </row>
    <row r="31" spans="1:35" s="233" customFormat="1" x14ac:dyDescent="0.25">
      <c r="A31" s="214"/>
      <c r="B31" s="215" t="s">
        <v>43</v>
      </c>
      <c r="C31" s="216"/>
      <c r="D31" s="217"/>
      <c r="E31" s="218"/>
      <c r="F31" s="218"/>
      <c r="G31" s="218"/>
      <c r="H31" s="244"/>
      <c r="I31" s="218"/>
      <c r="J31" s="218"/>
      <c r="K31" s="249"/>
      <c r="L31" s="244"/>
      <c r="M31" s="218"/>
      <c r="N31" s="218"/>
      <c r="O31" s="245">
        <f>SUM(O21)</f>
        <v>36223</v>
      </c>
      <c r="P31" s="245">
        <f>SUM(P21)</f>
        <v>36604.400000000001</v>
      </c>
      <c r="Q31" s="218">
        <f>(P31-O31)/O31*100</f>
        <v>1.0529221765176862</v>
      </c>
      <c r="R31" s="218"/>
      <c r="S31" s="218"/>
      <c r="T31" s="218">
        <f>SUM(T21)</f>
        <v>36414.199999999997</v>
      </c>
      <c r="U31" s="218">
        <f>SUM(U21)</f>
        <v>36337.4</v>
      </c>
      <c r="V31" s="218">
        <f>U31/P31*100</f>
        <v>99.270579493175688</v>
      </c>
      <c r="W31" s="218"/>
      <c r="X31" s="218"/>
      <c r="Y31" s="247"/>
      <c r="Z31" s="247"/>
      <c r="AA31" s="247"/>
      <c r="AB31" s="218"/>
      <c r="AC31" s="218"/>
      <c r="AD31" s="246">
        <f>T31-U31</f>
        <v>76.799999999995634</v>
      </c>
      <c r="AE31" s="245"/>
      <c r="AF31" s="220"/>
      <c r="AG31" s="219"/>
      <c r="AH31" s="220"/>
      <c r="AI31" s="237"/>
    </row>
    <row r="32" spans="1:35" s="233" customFormat="1" hidden="1" x14ac:dyDescent="0.25">
      <c r="A32" s="214"/>
      <c r="B32" s="215" t="s">
        <v>44</v>
      </c>
      <c r="C32" s="216"/>
      <c r="D32" s="218"/>
      <c r="E32" s="218"/>
      <c r="F32" s="247"/>
      <c r="G32" s="247"/>
      <c r="H32" s="247"/>
      <c r="I32" s="247"/>
      <c r="J32" s="247"/>
      <c r="K32" s="247"/>
      <c r="L32" s="247"/>
      <c r="M32" s="247"/>
      <c r="N32" s="247"/>
      <c r="O32" s="248"/>
      <c r="P32" s="248"/>
      <c r="Q32" s="218" t="e">
        <f>(P32-O32)/O32*100</f>
        <v>#DIV/0!</v>
      </c>
      <c r="R32" s="249"/>
      <c r="S32" s="249"/>
      <c r="T32" s="280"/>
      <c r="U32" s="280"/>
      <c r="V32" s="280" t="e">
        <f>U32/P32*100</f>
        <v>#DIV/0!</v>
      </c>
      <c r="W32" s="249"/>
      <c r="X32" s="249"/>
      <c r="Y32" s="281"/>
      <c r="Z32" s="281"/>
      <c r="AA32" s="281"/>
      <c r="AB32" s="249"/>
      <c r="AC32" s="249"/>
      <c r="AD32" s="246">
        <f>T32-U32</f>
        <v>0</v>
      </c>
      <c r="AE32" s="250"/>
      <c r="AF32" s="251"/>
      <c r="AG32" s="251"/>
      <c r="AH32" s="251"/>
      <c r="AI32" s="252"/>
    </row>
    <row r="33" spans="1:35" s="233" customFormat="1" ht="32.25" customHeight="1" x14ac:dyDescent="0.25">
      <c r="A33" s="214"/>
      <c r="B33" s="215" t="s">
        <v>45</v>
      </c>
      <c r="C33" s="218"/>
      <c r="D33" s="218"/>
      <c r="E33" s="218"/>
      <c r="F33" s="247"/>
      <c r="G33" s="247"/>
      <c r="H33" s="247"/>
      <c r="I33" s="247"/>
      <c r="J33" s="247"/>
      <c r="K33" s="247"/>
      <c r="L33" s="247"/>
      <c r="M33" s="247"/>
      <c r="N33" s="247"/>
      <c r="O33" s="248">
        <f>O18+O31</f>
        <v>42484</v>
      </c>
      <c r="P33" s="248">
        <f>P18+P31</f>
        <v>44235.4</v>
      </c>
      <c r="Q33" s="218">
        <f>(P33-O33)/O33*100</f>
        <v>4.1224931739007662</v>
      </c>
      <c r="R33" s="249"/>
      <c r="S33" s="249"/>
      <c r="T33" s="280">
        <f t="shared" ref="T33:U33" si="13">T18+T31</f>
        <v>44045.2</v>
      </c>
      <c r="U33" s="280">
        <f t="shared" si="13"/>
        <v>43918.720000000001</v>
      </c>
      <c r="V33" s="280">
        <f>U33/P33*100</f>
        <v>99.284102777413565</v>
      </c>
      <c r="W33" s="249"/>
      <c r="X33" s="249"/>
      <c r="Y33" s="281"/>
      <c r="Z33" s="281"/>
      <c r="AA33" s="281"/>
      <c r="AB33" s="249"/>
      <c r="AC33" s="249"/>
      <c r="AD33" s="248">
        <f t="shared" ref="AD33" si="14">AD18+AD31</f>
        <v>126.47999999999593</v>
      </c>
      <c r="AE33" s="248"/>
      <c r="AF33" s="251"/>
      <c r="AG33" s="251"/>
      <c r="AH33" s="251"/>
      <c r="AI33" s="252"/>
    </row>
    <row r="34" spans="1:35" s="199" customFormat="1" x14ac:dyDescent="0.25">
      <c r="A34" s="1"/>
      <c r="D34" s="208"/>
      <c r="E34" s="202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9"/>
      <c r="S34" s="209"/>
      <c r="T34" s="204"/>
      <c r="U34" s="204"/>
      <c r="V34" s="204"/>
      <c r="W34" s="204"/>
      <c r="X34" s="204"/>
      <c r="Y34" s="203"/>
      <c r="Z34" s="203"/>
      <c r="AA34" s="204"/>
      <c r="AB34" s="204"/>
      <c r="AC34" s="204"/>
      <c r="AD34" s="204"/>
      <c r="AE34" s="204"/>
      <c r="AF34" s="204"/>
    </row>
    <row r="35" spans="1:35" s="199" customFormat="1" x14ac:dyDescent="0.25">
      <c r="A35" s="1"/>
      <c r="D35" s="208"/>
      <c r="E35" s="202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9"/>
      <c r="S35" s="209"/>
      <c r="T35" s="204"/>
      <c r="U35" s="204"/>
      <c r="V35" s="204"/>
      <c r="W35" s="204"/>
      <c r="X35" s="204"/>
      <c r="Y35" s="203"/>
      <c r="Z35" s="203"/>
      <c r="AA35" s="204"/>
      <c r="AB35" s="204"/>
      <c r="AC35" s="204"/>
      <c r="AD35" s="204"/>
      <c r="AE35" s="204"/>
      <c r="AF35" s="204"/>
    </row>
    <row r="36" spans="1:35" s="199" customFormat="1" x14ac:dyDescent="0.25">
      <c r="A36" s="1"/>
      <c r="D36" s="208"/>
      <c r="E36" s="202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9"/>
      <c r="S36" s="209"/>
      <c r="T36" s="204"/>
      <c r="U36" s="204"/>
      <c r="V36" s="204"/>
      <c r="W36" s="204"/>
      <c r="X36" s="204"/>
      <c r="Y36" s="203"/>
      <c r="Z36" s="203"/>
      <c r="AA36" s="204"/>
      <c r="AB36" s="204"/>
      <c r="AC36" s="204"/>
      <c r="AD36" s="204"/>
      <c r="AE36" s="204"/>
      <c r="AF36" s="204"/>
    </row>
    <row r="37" spans="1:35" s="199" customFormat="1" x14ac:dyDescent="0.25">
      <c r="A37" s="1"/>
      <c r="D37" s="208"/>
      <c r="E37" s="202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9"/>
      <c r="S37" s="209"/>
      <c r="T37" s="204"/>
      <c r="U37" s="204"/>
      <c r="V37" s="204"/>
      <c r="W37" s="204"/>
      <c r="X37" s="204"/>
      <c r="Y37" s="203"/>
      <c r="Z37" s="203"/>
      <c r="AA37" s="204"/>
      <c r="AB37" s="204"/>
      <c r="AC37" s="204"/>
      <c r="AD37" s="204"/>
      <c r="AE37" s="204"/>
      <c r="AF37" s="204"/>
    </row>
    <row r="38" spans="1:35" s="199" customFormat="1" x14ac:dyDescent="0.25">
      <c r="A38" s="1"/>
      <c r="D38" s="208"/>
      <c r="E38" s="202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9"/>
      <c r="S38" s="209"/>
      <c r="T38" s="204"/>
      <c r="U38" s="204"/>
      <c r="V38" s="204"/>
      <c r="W38" s="204"/>
      <c r="X38" s="204"/>
      <c r="Y38" s="203"/>
      <c r="Z38" s="203"/>
      <c r="AA38" s="204"/>
      <c r="AB38" s="204"/>
      <c r="AC38" s="204"/>
      <c r="AD38" s="204"/>
      <c r="AE38" s="204"/>
      <c r="AF38" s="204"/>
    </row>
    <row r="39" spans="1:35" s="338" customFormat="1" ht="36" customHeight="1" x14ac:dyDescent="0.25">
      <c r="A39" s="352" t="s">
        <v>274</v>
      </c>
      <c r="B39" s="352"/>
      <c r="D39" s="339"/>
      <c r="E39" s="340"/>
      <c r="F39" s="354" t="s">
        <v>278</v>
      </c>
      <c r="G39" s="354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1"/>
      <c r="W39" s="340"/>
      <c r="X39" s="340"/>
      <c r="Y39" s="342"/>
      <c r="Z39" s="342"/>
      <c r="AA39" s="340"/>
      <c r="AB39" s="340"/>
      <c r="AC39" s="340"/>
      <c r="AD39" s="340"/>
      <c r="AE39" s="340"/>
      <c r="AF39" s="340"/>
    </row>
    <row r="40" spans="1:35" s="199" customFormat="1" x14ac:dyDescent="0.25">
      <c r="A40" s="1"/>
      <c r="D40" s="208" t="s">
        <v>277</v>
      </c>
      <c r="E40" s="204"/>
      <c r="F40" s="355" t="s">
        <v>279</v>
      </c>
      <c r="G40" s="355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9"/>
      <c r="W40" s="204"/>
      <c r="X40" s="204"/>
      <c r="Y40" s="203"/>
      <c r="Z40" s="203"/>
      <c r="AA40" s="204"/>
      <c r="AB40" s="204"/>
      <c r="AC40" s="204"/>
      <c r="AD40" s="204"/>
      <c r="AE40" s="204"/>
      <c r="AF40" s="204"/>
    </row>
    <row r="41" spans="1:35" s="199" customFormat="1" x14ac:dyDescent="0.25">
      <c r="A41" s="1"/>
      <c r="D41" s="208"/>
      <c r="E41" s="202"/>
      <c r="R41" s="210"/>
      <c r="S41" s="210"/>
      <c r="Y41" s="205"/>
      <c r="Z41" s="205"/>
    </row>
    <row r="42" spans="1:35" s="199" customFormat="1" x14ac:dyDescent="0.25">
      <c r="A42" s="353" t="s">
        <v>275</v>
      </c>
      <c r="B42" s="353"/>
      <c r="C42" s="353"/>
      <c r="D42" s="353"/>
      <c r="E42" s="353"/>
      <c r="F42" s="353"/>
      <c r="R42" s="210"/>
      <c r="S42" s="210"/>
      <c r="Y42" s="205"/>
      <c r="Z42" s="205"/>
    </row>
    <row r="43" spans="1:35" s="199" customFormat="1" x14ac:dyDescent="0.2">
      <c r="A43" s="310"/>
      <c r="B43" s="310"/>
      <c r="C43" s="310"/>
      <c r="D43" s="311"/>
      <c r="E43" s="311"/>
      <c r="F43" s="311"/>
      <c r="R43" s="210"/>
      <c r="S43" s="210"/>
      <c r="Y43" s="205"/>
      <c r="Z43" s="205"/>
    </row>
    <row r="44" spans="1:35" s="199" customFormat="1" x14ac:dyDescent="0.2">
      <c r="A44" s="353" t="s">
        <v>276</v>
      </c>
      <c r="B44" s="353"/>
      <c r="C44" s="353"/>
      <c r="D44" s="353"/>
      <c r="E44" s="353"/>
      <c r="F44" s="311"/>
      <c r="R44" s="210"/>
      <c r="S44" s="210"/>
      <c r="Y44" s="205"/>
      <c r="Z44" s="205"/>
    </row>
  </sheetData>
  <mergeCells count="98">
    <mergeCell ref="A39:B39"/>
    <mergeCell ref="A42:F42"/>
    <mergeCell ref="A44:E44"/>
    <mergeCell ref="F39:G39"/>
    <mergeCell ref="F40:G40"/>
    <mergeCell ref="AG21:AG30"/>
    <mergeCell ref="AH21:AH30"/>
    <mergeCell ref="AI21:AI30"/>
    <mergeCell ref="V21:V30"/>
    <mergeCell ref="Y21:Y30"/>
    <mergeCell ref="Z21:Z30"/>
    <mergeCell ref="AA21:AA30"/>
    <mergeCell ref="AD21:AD30"/>
    <mergeCell ref="X21:X30"/>
    <mergeCell ref="AB21:AB30"/>
    <mergeCell ref="AC21:AC30"/>
    <mergeCell ref="AE21:AE30"/>
    <mergeCell ref="AF21:AF30"/>
    <mergeCell ref="O21:O30"/>
    <mergeCell ref="P21:P30"/>
    <mergeCell ref="Q21:Q30"/>
    <mergeCell ref="T21:T30"/>
    <mergeCell ref="U21:U30"/>
    <mergeCell ref="U16:U17"/>
    <mergeCell ref="V16:V17"/>
    <mergeCell ref="O11:O15"/>
    <mergeCell ref="P11:P15"/>
    <mergeCell ref="Q11:Q15"/>
    <mergeCell ref="T11:T15"/>
    <mergeCell ref="U11:U15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W5:X5"/>
    <mergeCell ref="Q5:Q6"/>
    <mergeCell ref="R5:S5"/>
    <mergeCell ref="T5:T6"/>
    <mergeCell ref="U5:U6"/>
    <mergeCell ref="V5:V6"/>
    <mergeCell ref="X11:X15"/>
    <mergeCell ref="X16:X17"/>
    <mergeCell ref="Y11:Y15"/>
    <mergeCell ref="Y16:Y17"/>
    <mergeCell ref="Z16:Z17"/>
    <mergeCell ref="Z11:Z15"/>
    <mergeCell ref="A8:A17"/>
    <mergeCell ref="A21:A30"/>
    <mergeCell ref="R21:R30"/>
    <mergeCell ref="S21:S30"/>
    <mergeCell ref="W21:W30"/>
    <mergeCell ref="W11:W15"/>
    <mergeCell ref="W16:W17"/>
    <mergeCell ref="R11:R15"/>
    <mergeCell ref="S11:S15"/>
    <mergeCell ref="R16:R17"/>
    <mergeCell ref="S16:S17"/>
    <mergeCell ref="V11:V15"/>
    <mergeCell ref="O16:O17"/>
    <mergeCell ref="P16:P17"/>
    <mergeCell ref="Q16:Q17"/>
    <mergeCell ref="T16:T17"/>
    <mergeCell ref="AA11:AA15"/>
    <mergeCell ref="AE11:AE15"/>
    <mergeCell ref="AE16:AE17"/>
    <mergeCell ref="AA16:AA17"/>
    <mergeCell ref="AB11:AB15"/>
    <mergeCell ref="AC11:AC15"/>
    <mergeCell ref="AD11:AD15"/>
    <mergeCell ref="AB16:AB17"/>
    <mergeCell ref="AG11:AG17"/>
    <mergeCell ref="AH11:AH17"/>
    <mergeCell ref="AI11:AI17"/>
    <mergeCell ref="AC16:AC17"/>
    <mergeCell ref="AD16:AD17"/>
    <mergeCell ref="AF11:AF17"/>
  </mergeCells>
  <printOptions horizontalCentered="1"/>
  <pageMargins left="0.196527777777778" right="0.196527777777778" top="0.94513888888888897" bottom="0.15763888888888899" header="0.31527777777777799" footer="0.51180555555555496"/>
  <pageSetup paperSize="8" scale="46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157A"/>
    <pageSetUpPr fitToPage="1"/>
  </sheetPr>
  <dimension ref="A1:AMK26"/>
  <sheetViews>
    <sheetView view="pageBreakPreview" zoomScale="85" zoomScaleNormal="70" zoomScalePageLayoutView="85" workbookViewId="0">
      <pane xSplit="2" ySplit="7" topLeftCell="Z8" activePane="bottomRight" state="frozen"/>
      <selection pane="topRight" activeCell="C1" sqref="C1"/>
      <selection pane="bottomLeft" activeCell="A7" sqref="A7"/>
      <selection pane="bottomRight" activeCell="AF10" sqref="AF10"/>
    </sheetView>
  </sheetViews>
  <sheetFormatPr defaultRowHeight="15" x14ac:dyDescent="0.25"/>
  <cols>
    <col min="1" max="1" width="14" style="1" customWidth="1"/>
    <col min="2" max="2" width="22.140625" style="2" customWidth="1"/>
    <col min="3" max="3" width="16.7109375" style="3" customWidth="1"/>
    <col min="4" max="4" width="9.5703125" style="4" customWidth="1"/>
    <col min="5" max="5" width="13.42578125" style="5" customWidth="1"/>
    <col min="6" max="6" width="13.7109375" style="3" customWidth="1"/>
    <col min="7" max="7" width="12.42578125" style="3" customWidth="1"/>
    <col min="8" max="8" width="15.42578125" style="3" customWidth="1"/>
    <col min="9" max="10" width="11.42578125" style="3" customWidth="1"/>
    <col min="11" max="11" width="12.42578125" style="3" customWidth="1"/>
    <col min="12" max="12" width="12.28515625" style="3" customWidth="1"/>
    <col min="13" max="14" width="7.42578125" style="3" customWidth="1"/>
    <col min="15" max="15" width="13.5703125" style="3" customWidth="1"/>
    <col min="16" max="16" width="12" style="3" customWidth="1"/>
    <col min="17" max="17" width="14.5703125" style="3" customWidth="1"/>
    <col min="18" max="19" width="12" style="6" customWidth="1"/>
    <col min="20" max="21" width="12.140625" style="3" customWidth="1"/>
    <col min="22" max="22" width="12" style="3" customWidth="1"/>
    <col min="23" max="24" width="6.85546875" style="3" customWidth="1"/>
    <col min="25" max="26" width="13.5703125" style="7" customWidth="1"/>
    <col min="27" max="27" width="15.28515625" style="3" customWidth="1"/>
    <col min="28" max="29" width="11.5703125" style="3" customWidth="1"/>
    <col min="30" max="30" width="13.5703125" style="3" customWidth="1"/>
    <col min="31" max="31" width="11.85546875" style="3" customWidth="1"/>
    <col min="32" max="32" width="17.28515625" style="2" customWidth="1"/>
    <col min="33" max="33" width="10.28515625" style="3" customWidth="1"/>
    <col min="34" max="34" width="11.5703125" style="3" customWidth="1"/>
    <col min="35" max="35" width="12.140625" style="3" customWidth="1"/>
    <col min="36" max="1025" width="8.85546875" style="3" customWidth="1"/>
  </cols>
  <sheetData>
    <row r="1" spans="1:35" s="343" customFormat="1" ht="32.1" customHeight="1" x14ac:dyDescent="0.4">
      <c r="A1" s="357" t="s">
        <v>48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</row>
    <row r="2" spans="1:35" s="3" customFormat="1" ht="20.25" x14ac:dyDescent="0.25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</row>
    <row r="3" spans="1:35" s="2" customFormat="1" ht="29.25" customHeight="1" x14ac:dyDescent="0.25">
      <c r="A3" s="348" t="s">
        <v>1</v>
      </c>
      <c r="B3" s="348" t="s">
        <v>2</v>
      </c>
      <c r="C3" s="348" t="s">
        <v>3</v>
      </c>
      <c r="D3" s="348" t="s">
        <v>4</v>
      </c>
      <c r="E3" s="348" t="s">
        <v>5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9" t="s">
        <v>6</v>
      </c>
      <c r="Z3" s="349"/>
      <c r="AA3" s="349"/>
      <c r="AB3" s="349"/>
      <c r="AC3" s="349"/>
      <c r="AD3" s="348" t="s">
        <v>7</v>
      </c>
      <c r="AE3" s="348" t="s">
        <v>309</v>
      </c>
      <c r="AF3" s="348" t="s">
        <v>9</v>
      </c>
      <c r="AG3" s="348"/>
      <c r="AH3" s="348"/>
      <c r="AI3" s="348"/>
    </row>
    <row r="4" spans="1:35" s="2" customFormat="1" ht="17.649999999999999" customHeight="1" x14ac:dyDescent="0.25">
      <c r="A4" s="348"/>
      <c r="B4" s="348"/>
      <c r="C4" s="348"/>
      <c r="D4" s="348"/>
      <c r="E4" s="350" t="s">
        <v>10</v>
      </c>
      <c r="F4" s="350"/>
      <c r="G4" s="350"/>
      <c r="H4" s="350"/>
      <c r="I4" s="350"/>
      <c r="J4" s="350"/>
      <c r="K4" s="350"/>
      <c r="L4" s="350"/>
      <c r="M4" s="350"/>
      <c r="N4" s="350"/>
      <c r="O4" s="351" t="s">
        <v>11</v>
      </c>
      <c r="P4" s="351"/>
      <c r="Q4" s="351"/>
      <c r="R4" s="351"/>
      <c r="S4" s="351"/>
      <c r="T4" s="351"/>
      <c r="U4" s="351"/>
      <c r="V4" s="351"/>
      <c r="W4" s="351"/>
      <c r="X4" s="351"/>
      <c r="Y4" s="346" t="s">
        <v>12</v>
      </c>
      <c r="Z4" s="346" t="s">
        <v>13</v>
      </c>
      <c r="AA4" s="346" t="s">
        <v>14</v>
      </c>
      <c r="AB4" s="346" t="s">
        <v>15</v>
      </c>
      <c r="AC4" s="346"/>
      <c r="AD4" s="348"/>
      <c r="AE4" s="348"/>
      <c r="AF4" s="348"/>
      <c r="AG4" s="348"/>
      <c r="AH4" s="348"/>
      <c r="AI4" s="348"/>
    </row>
    <row r="5" spans="1:35" s="2" customFormat="1" ht="108" customHeight="1" x14ac:dyDescent="0.25">
      <c r="A5" s="348"/>
      <c r="B5" s="348"/>
      <c r="C5" s="348"/>
      <c r="D5" s="348"/>
      <c r="E5" s="346" t="s">
        <v>16</v>
      </c>
      <c r="F5" s="346" t="s">
        <v>17</v>
      </c>
      <c r="G5" s="346" t="s">
        <v>18</v>
      </c>
      <c r="H5" s="346" t="s">
        <v>19</v>
      </c>
      <c r="I5" s="346" t="s">
        <v>20</v>
      </c>
      <c r="J5" s="346"/>
      <c r="K5" s="346" t="s">
        <v>21</v>
      </c>
      <c r="L5" s="346" t="s">
        <v>22</v>
      </c>
      <c r="M5" s="346" t="s">
        <v>23</v>
      </c>
      <c r="N5" s="346"/>
      <c r="O5" s="346" t="s">
        <v>24</v>
      </c>
      <c r="P5" s="346" t="s">
        <v>25</v>
      </c>
      <c r="Q5" s="346" t="s">
        <v>26</v>
      </c>
      <c r="R5" s="356" t="s">
        <v>27</v>
      </c>
      <c r="S5" s="356"/>
      <c r="T5" s="346" t="s">
        <v>307</v>
      </c>
      <c r="U5" s="346" t="s">
        <v>28</v>
      </c>
      <c r="V5" s="346" t="s">
        <v>29</v>
      </c>
      <c r="W5" s="346" t="s">
        <v>23</v>
      </c>
      <c r="X5" s="346"/>
      <c r="Y5" s="346"/>
      <c r="Z5" s="346"/>
      <c r="AA5" s="346"/>
      <c r="AB5" s="346"/>
      <c r="AC5" s="346"/>
      <c r="AD5" s="348"/>
      <c r="AE5" s="348"/>
      <c r="AF5" s="348"/>
      <c r="AG5" s="348"/>
      <c r="AH5" s="348"/>
      <c r="AI5" s="348"/>
    </row>
    <row r="6" spans="1:35" s="2" customFormat="1" ht="91.5" customHeight="1" x14ac:dyDescent="0.25">
      <c r="A6" s="348"/>
      <c r="B6" s="348"/>
      <c r="C6" s="348"/>
      <c r="D6" s="348"/>
      <c r="E6" s="346"/>
      <c r="F6" s="346"/>
      <c r="G6" s="346"/>
      <c r="H6" s="346"/>
      <c r="I6" s="10" t="s">
        <v>30</v>
      </c>
      <c r="J6" s="11" t="s">
        <v>31</v>
      </c>
      <c r="K6" s="346"/>
      <c r="L6" s="346"/>
      <c r="M6" s="10" t="s">
        <v>32</v>
      </c>
      <c r="N6" s="11" t="s">
        <v>33</v>
      </c>
      <c r="O6" s="346"/>
      <c r="P6" s="346"/>
      <c r="Q6" s="346"/>
      <c r="R6" s="10" t="s">
        <v>34</v>
      </c>
      <c r="S6" s="11" t="s">
        <v>31</v>
      </c>
      <c r="T6" s="346"/>
      <c r="U6" s="346"/>
      <c r="V6" s="346"/>
      <c r="W6" s="10" t="s">
        <v>32</v>
      </c>
      <c r="X6" s="11" t="s">
        <v>33</v>
      </c>
      <c r="Y6" s="346"/>
      <c r="Z6" s="346"/>
      <c r="AA6" s="346"/>
      <c r="AB6" s="12" t="s">
        <v>30</v>
      </c>
      <c r="AC6" s="12" t="s">
        <v>31</v>
      </c>
      <c r="AD6" s="348"/>
      <c r="AE6" s="348"/>
      <c r="AF6" s="12" t="s">
        <v>35</v>
      </c>
      <c r="AG6" s="12" t="s">
        <v>36</v>
      </c>
      <c r="AH6" s="12" t="s">
        <v>37</v>
      </c>
      <c r="AI6" s="12" t="s">
        <v>38</v>
      </c>
    </row>
    <row r="7" spans="1:35" s="14" customFormat="1" x14ac:dyDescent="0.25">
      <c r="A7" s="9">
        <v>1</v>
      </c>
      <c r="B7" s="9">
        <v>2</v>
      </c>
      <c r="C7" s="9">
        <v>3</v>
      </c>
      <c r="D7" s="8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9">
        <v>24</v>
      </c>
      <c r="Y7" s="9">
        <v>25</v>
      </c>
      <c r="Z7" s="9">
        <v>26</v>
      </c>
      <c r="AA7" s="9">
        <v>27</v>
      </c>
      <c r="AB7" s="9">
        <v>28</v>
      </c>
      <c r="AC7" s="9">
        <v>29</v>
      </c>
      <c r="AD7" s="9">
        <v>30</v>
      </c>
      <c r="AE7" s="9">
        <v>31</v>
      </c>
      <c r="AF7" s="9">
        <v>32</v>
      </c>
      <c r="AG7" s="9">
        <v>33</v>
      </c>
      <c r="AH7" s="9">
        <v>34</v>
      </c>
      <c r="AI7" s="13">
        <v>35</v>
      </c>
    </row>
    <row r="8" spans="1:35" s="290" customFormat="1" ht="105" x14ac:dyDescent="0.25">
      <c r="A8" s="226">
        <v>757</v>
      </c>
      <c r="B8" s="313" t="s">
        <v>263</v>
      </c>
      <c r="C8" s="224" t="s">
        <v>41</v>
      </c>
      <c r="D8" s="225">
        <v>2</v>
      </c>
      <c r="E8" s="226" t="s">
        <v>264</v>
      </c>
      <c r="F8" s="230">
        <v>599</v>
      </c>
      <c r="G8" s="230">
        <v>622</v>
      </c>
      <c r="H8" s="238">
        <f t="shared" ref="H8:H13" si="0">(G8-F8)/F8*100</f>
        <v>3.8397328881469113</v>
      </c>
      <c r="I8" s="230"/>
      <c r="J8" s="230"/>
      <c r="K8" s="230">
        <v>653</v>
      </c>
      <c r="L8" s="239">
        <f t="shared" ref="L8:L13" si="1">K8/G8*100</f>
        <v>104.983922829582</v>
      </c>
      <c r="M8" s="230"/>
      <c r="N8" s="230"/>
      <c r="O8" s="292">
        <v>38407.4</v>
      </c>
      <c r="P8" s="292">
        <v>35230</v>
      </c>
      <c r="Q8" s="293">
        <f t="shared" ref="Q8:Q11" si="2">(P8-O8)/O8*100</f>
        <v>-8.2728849128032653</v>
      </c>
      <c r="R8" s="294"/>
      <c r="S8" s="294"/>
      <c r="T8" s="292">
        <v>35230</v>
      </c>
      <c r="U8" s="292">
        <v>35209</v>
      </c>
      <c r="V8" s="279">
        <f t="shared" ref="V8:V11" si="3">T8/P8*100</f>
        <v>100</v>
      </c>
      <c r="W8" s="230"/>
      <c r="X8" s="230"/>
      <c r="Y8" s="289">
        <f t="shared" ref="Y8:Z8" si="4">O8/F8*1000</f>
        <v>64119.19866444073</v>
      </c>
      <c r="Z8" s="289">
        <f t="shared" si="4"/>
        <v>56639.871382636658</v>
      </c>
      <c r="AA8" s="244">
        <f t="shared" ref="AA8:AA11" si="5">(Z8-Y8)/Y8*100</f>
        <v>-11.664723573583839</v>
      </c>
      <c r="AB8" s="230"/>
      <c r="AC8" s="230">
        <v>1</v>
      </c>
      <c r="AD8" s="298">
        <f>T8-U8</f>
        <v>21</v>
      </c>
      <c r="AE8" s="242"/>
      <c r="AF8" s="230" t="s">
        <v>265</v>
      </c>
      <c r="AG8" s="230">
        <v>64</v>
      </c>
      <c r="AH8" s="230">
        <v>64</v>
      </c>
      <c r="AI8" s="238">
        <f t="shared" ref="AI8:AI11" si="6">AH8/AG8*100</f>
        <v>100</v>
      </c>
    </row>
    <row r="9" spans="1:35" s="290" customFormat="1" ht="90" x14ac:dyDescent="0.25">
      <c r="A9" s="226">
        <v>757</v>
      </c>
      <c r="B9" s="313" t="s">
        <v>266</v>
      </c>
      <c r="C9" s="224" t="s">
        <v>41</v>
      </c>
      <c r="D9" s="225">
        <v>1</v>
      </c>
      <c r="E9" s="226" t="s">
        <v>267</v>
      </c>
      <c r="F9" s="230">
        <v>584218</v>
      </c>
      <c r="G9" s="230">
        <v>576710</v>
      </c>
      <c r="H9" s="238">
        <f t="shared" si="0"/>
        <v>-1.2851367126654776</v>
      </c>
      <c r="I9" s="230"/>
      <c r="J9" s="230"/>
      <c r="K9" s="230">
        <v>506936</v>
      </c>
      <c r="L9" s="239">
        <f t="shared" si="1"/>
        <v>87.901371573234371</v>
      </c>
      <c r="M9" s="230"/>
      <c r="N9" s="230">
        <v>1</v>
      </c>
      <c r="O9" s="292">
        <v>28202.7</v>
      </c>
      <c r="P9" s="292">
        <v>25926.400000000001</v>
      </c>
      <c r="Q9" s="293">
        <f t="shared" si="2"/>
        <v>-8.0712130398862492</v>
      </c>
      <c r="R9" s="294"/>
      <c r="S9" s="294"/>
      <c r="T9" s="292">
        <v>25926.400000000001</v>
      </c>
      <c r="U9" s="292">
        <v>25895.4</v>
      </c>
      <c r="V9" s="279">
        <f t="shared" si="3"/>
        <v>100</v>
      </c>
      <c r="W9" s="230"/>
      <c r="X9" s="230"/>
      <c r="Y9" s="289">
        <f>O9/F9*1000</f>
        <v>48.274274329103179</v>
      </c>
      <c r="Z9" s="289">
        <f>P9/G9*1000</f>
        <v>44.955696970747866</v>
      </c>
      <c r="AA9" s="244">
        <f t="shared" si="5"/>
        <v>-6.8744220487528649</v>
      </c>
      <c r="AB9" s="230"/>
      <c r="AC9" s="230"/>
      <c r="AD9" s="298">
        <f t="shared" ref="AD9:AD10" si="7">T9-U9</f>
        <v>31</v>
      </c>
      <c r="AE9" s="242"/>
      <c r="AF9" s="230" t="s">
        <v>268</v>
      </c>
      <c r="AG9" s="230">
        <v>3.83</v>
      </c>
      <c r="AH9" s="230">
        <v>3.37</v>
      </c>
      <c r="AI9" s="238">
        <f t="shared" si="6"/>
        <v>87.989556135770243</v>
      </c>
    </row>
    <row r="10" spans="1:35" s="290" customFormat="1" ht="60" x14ac:dyDescent="0.25">
      <c r="A10" s="226">
        <v>757</v>
      </c>
      <c r="B10" s="313" t="s">
        <v>308</v>
      </c>
      <c r="C10" s="224" t="s">
        <v>41</v>
      </c>
      <c r="D10" s="225">
        <v>1</v>
      </c>
      <c r="E10" s="226" t="s">
        <v>267</v>
      </c>
      <c r="F10" s="230">
        <v>8000</v>
      </c>
      <c r="G10" s="230">
        <v>8000</v>
      </c>
      <c r="H10" s="238">
        <f t="shared" si="0"/>
        <v>0</v>
      </c>
      <c r="I10" s="230"/>
      <c r="J10" s="230"/>
      <c r="K10" s="230">
        <v>10916</v>
      </c>
      <c r="L10" s="239">
        <f t="shared" si="1"/>
        <v>136.45000000000002</v>
      </c>
      <c r="M10" s="230">
        <v>1</v>
      </c>
      <c r="N10" s="230"/>
      <c r="O10" s="241">
        <v>16624.8</v>
      </c>
      <c r="P10" s="241">
        <v>14651.7</v>
      </c>
      <c r="Q10" s="295">
        <f t="shared" si="2"/>
        <v>-11.868413454597942</v>
      </c>
      <c r="R10" s="230"/>
      <c r="S10" s="230">
        <v>1</v>
      </c>
      <c r="T10" s="241">
        <v>14651.7</v>
      </c>
      <c r="U10" s="241">
        <v>14651.7</v>
      </c>
      <c r="V10" s="279">
        <f t="shared" si="3"/>
        <v>100</v>
      </c>
      <c r="W10" s="230"/>
      <c r="X10" s="230"/>
      <c r="Y10" s="289">
        <f t="shared" ref="Y10:Z10" si="8">O10/F10*1000</f>
        <v>2078.1</v>
      </c>
      <c r="Z10" s="289">
        <f t="shared" si="8"/>
        <v>1831.4625000000001</v>
      </c>
      <c r="AA10" s="244">
        <f t="shared" si="5"/>
        <v>-11.868413454597942</v>
      </c>
      <c r="AB10" s="230"/>
      <c r="AC10" s="230">
        <v>1</v>
      </c>
      <c r="AD10" s="298">
        <f t="shared" si="7"/>
        <v>0</v>
      </c>
      <c r="AE10" s="242"/>
      <c r="AF10" s="230" t="s">
        <v>269</v>
      </c>
      <c r="AG10" s="230">
        <v>0.05</v>
      </c>
      <c r="AH10" s="230">
        <v>7.0000000000000007E-2</v>
      </c>
      <c r="AI10" s="238">
        <f t="shared" si="6"/>
        <v>140</v>
      </c>
    </row>
    <row r="11" spans="1:35" s="290" customFormat="1" ht="36" customHeight="1" x14ac:dyDescent="0.25">
      <c r="A11" s="362">
        <v>757</v>
      </c>
      <c r="B11" s="417" t="s">
        <v>270</v>
      </c>
      <c r="C11" s="420" t="s">
        <v>41</v>
      </c>
      <c r="D11" s="423">
        <v>1</v>
      </c>
      <c r="E11" s="226" t="s">
        <v>245</v>
      </c>
      <c r="F11" s="230">
        <v>3384</v>
      </c>
      <c r="G11" s="230">
        <v>3384</v>
      </c>
      <c r="H11" s="238">
        <f t="shared" si="0"/>
        <v>0</v>
      </c>
      <c r="I11" s="230"/>
      <c r="J11" s="230"/>
      <c r="K11" s="230">
        <v>2613</v>
      </c>
      <c r="L11" s="239">
        <f t="shared" si="1"/>
        <v>77.216312056737593</v>
      </c>
      <c r="M11" s="230"/>
      <c r="N11" s="230">
        <v>1</v>
      </c>
      <c r="O11" s="399">
        <v>8410</v>
      </c>
      <c r="P11" s="399">
        <v>8004.6</v>
      </c>
      <c r="Q11" s="414">
        <f t="shared" si="2"/>
        <v>-4.8204518430439904</v>
      </c>
      <c r="R11" s="372"/>
      <c r="S11" s="372"/>
      <c r="T11" s="399">
        <v>8004.6</v>
      </c>
      <c r="U11" s="399">
        <v>8004.6</v>
      </c>
      <c r="V11" s="389">
        <f t="shared" si="3"/>
        <v>100</v>
      </c>
      <c r="W11" s="372"/>
      <c r="X11" s="372"/>
      <c r="Y11" s="411">
        <f>O11/(F11+F12+F13)*1000</f>
        <v>28.778997149476261</v>
      </c>
      <c r="Z11" s="411">
        <f>P11/(G11+G12+G13)*1000</f>
        <v>27.391719450974755</v>
      </c>
      <c r="AA11" s="394">
        <f t="shared" si="5"/>
        <v>-4.8204518430439931</v>
      </c>
      <c r="AB11" s="372"/>
      <c r="AC11" s="372"/>
      <c r="AD11" s="378">
        <f>T11-U11</f>
        <v>0</v>
      </c>
      <c r="AE11" s="378"/>
      <c r="AF11" s="372" t="s">
        <v>271</v>
      </c>
      <c r="AG11" s="372">
        <v>284783</v>
      </c>
      <c r="AH11" s="372">
        <v>598212</v>
      </c>
      <c r="AI11" s="402">
        <f t="shared" si="6"/>
        <v>210.0588869419874</v>
      </c>
    </row>
    <row r="12" spans="1:35" s="290" customFormat="1" ht="45" x14ac:dyDescent="0.25">
      <c r="A12" s="363"/>
      <c r="B12" s="418"/>
      <c r="C12" s="421"/>
      <c r="D12" s="424"/>
      <c r="E12" s="226" t="s">
        <v>272</v>
      </c>
      <c r="F12" s="230">
        <v>284783</v>
      </c>
      <c r="G12" s="230">
        <v>284783</v>
      </c>
      <c r="H12" s="238">
        <f t="shared" si="0"/>
        <v>0</v>
      </c>
      <c r="I12" s="230"/>
      <c r="J12" s="230"/>
      <c r="K12" s="230">
        <v>598212</v>
      </c>
      <c r="L12" s="239">
        <f t="shared" si="1"/>
        <v>210.0588869419874</v>
      </c>
      <c r="M12" s="230">
        <v>1</v>
      </c>
      <c r="N12" s="230"/>
      <c r="O12" s="400"/>
      <c r="P12" s="400"/>
      <c r="Q12" s="415"/>
      <c r="R12" s="373"/>
      <c r="S12" s="373"/>
      <c r="T12" s="400"/>
      <c r="U12" s="400"/>
      <c r="V12" s="390"/>
      <c r="W12" s="373"/>
      <c r="X12" s="373"/>
      <c r="Y12" s="412"/>
      <c r="Z12" s="412"/>
      <c r="AA12" s="398"/>
      <c r="AB12" s="373"/>
      <c r="AC12" s="373"/>
      <c r="AD12" s="386"/>
      <c r="AE12" s="386"/>
      <c r="AF12" s="373"/>
      <c r="AG12" s="373"/>
      <c r="AH12" s="373"/>
      <c r="AI12" s="403"/>
    </row>
    <row r="13" spans="1:35" s="290" customFormat="1" ht="60" x14ac:dyDescent="0.25">
      <c r="A13" s="388"/>
      <c r="B13" s="419"/>
      <c r="C13" s="422"/>
      <c r="D13" s="425"/>
      <c r="E13" s="230" t="s">
        <v>273</v>
      </c>
      <c r="F13" s="230">
        <v>4060</v>
      </c>
      <c r="G13" s="230">
        <v>4060</v>
      </c>
      <c r="H13" s="238">
        <f t="shared" si="0"/>
        <v>0</v>
      </c>
      <c r="I13" s="230"/>
      <c r="J13" s="230"/>
      <c r="K13" s="230">
        <v>3136</v>
      </c>
      <c r="L13" s="239">
        <f t="shared" si="1"/>
        <v>77.241379310344826</v>
      </c>
      <c r="M13" s="230"/>
      <c r="N13" s="230">
        <v>1</v>
      </c>
      <c r="O13" s="401"/>
      <c r="P13" s="401"/>
      <c r="Q13" s="416"/>
      <c r="R13" s="374"/>
      <c r="S13" s="374"/>
      <c r="T13" s="401"/>
      <c r="U13" s="401"/>
      <c r="V13" s="391"/>
      <c r="W13" s="374"/>
      <c r="X13" s="374"/>
      <c r="Y13" s="413"/>
      <c r="Z13" s="413"/>
      <c r="AA13" s="395"/>
      <c r="AB13" s="374"/>
      <c r="AC13" s="374"/>
      <c r="AD13" s="379"/>
      <c r="AE13" s="379"/>
      <c r="AF13" s="374"/>
      <c r="AG13" s="374"/>
      <c r="AH13" s="374"/>
      <c r="AI13" s="404"/>
    </row>
    <row r="14" spans="1:35" s="291" customFormat="1" x14ac:dyDescent="0.25">
      <c r="A14" s="214"/>
      <c r="B14" s="255" t="s">
        <v>43</v>
      </c>
      <c r="C14" s="216"/>
      <c r="D14" s="217"/>
      <c r="E14" s="218"/>
      <c r="F14" s="218"/>
      <c r="G14" s="218"/>
      <c r="H14" s="244"/>
      <c r="I14" s="218"/>
      <c r="J14" s="218"/>
      <c r="K14" s="218"/>
      <c r="L14" s="244"/>
      <c r="M14" s="218"/>
      <c r="N14" s="218"/>
      <c r="O14" s="245">
        <f>SUM(O8:O13)</f>
        <v>91644.900000000009</v>
      </c>
      <c r="P14" s="245">
        <f>SUM(P8:P13)</f>
        <v>83812.700000000012</v>
      </c>
      <c r="Q14" s="245">
        <f>(P14-O14)/O14*100</f>
        <v>-8.5462475271400766</v>
      </c>
      <c r="R14" s="218"/>
      <c r="S14" s="218"/>
      <c r="T14" s="245">
        <f t="shared" ref="T14:U14" si="9">SUM(T8:T13)</f>
        <v>83812.700000000012</v>
      </c>
      <c r="U14" s="245">
        <f t="shared" si="9"/>
        <v>83760.700000000012</v>
      </c>
      <c r="V14" s="218">
        <f>U14/P14*100</f>
        <v>99.937956896747153</v>
      </c>
      <c r="W14" s="218"/>
      <c r="X14" s="218"/>
      <c r="Y14" s="218"/>
      <c r="Z14" s="218"/>
      <c r="AA14" s="218"/>
      <c r="AB14" s="218"/>
      <c r="AC14" s="218"/>
      <c r="AD14" s="246">
        <f>T14-U14</f>
        <v>52</v>
      </c>
      <c r="AE14" s="245"/>
      <c r="AF14" s="296"/>
      <c r="AG14" s="219"/>
      <c r="AH14" s="296"/>
      <c r="AI14" s="297"/>
    </row>
    <row r="15" spans="1:35" s="291" customFormat="1" ht="32.25" customHeight="1" x14ac:dyDescent="0.25">
      <c r="A15" s="214"/>
      <c r="B15" s="255" t="s">
        <v>45</v>
      </c>
      <c r="C15" s="218"/>
      <c r="D15" s="218"/>
      <c r="E15" s="218"/>
      <c r="F15" s="247"/>
      <c r="G15" s="247"/>
      <c r="H15" s="247"/>
      <c r="I15" s="247"/>
      <c r="J15" s="247"/>
      <c r="K15" s="247"/>
      <c r="L15" s="247"/>
      <c r="M15" s="247"/>
      <c r="N15" s="247"/>
      <c r="O15" s="248">
        <f>SUM(O14:O14)</f>
        <v>91644.900000000009</v>
      </c>
      <c r="P15" s="248">
        <f>SUM(P14:P14)</f>
        <v>83812.700000000012</v>
      </c>
      <c r="Q15" s="245">
        <f>(P15-O15)/O15*100</f>
        <v>-8.5462475271400766</v>
      </c>
      <c r="R15" s="249"/>
      <c r="S15" s="249"/>
      <c r="T15" s="248">
        <f t="shared" ref="T15:U15" si="10">SUM(T14:T14)</f>
        <v>83812.700000000012</v>
      </c>
      <c r="U15" s="248">
        <f t="shared" si="10"/>
        <v>83760.700000000012</v>
      </c>
      <c r="V15" s="280">
        <f>U15/P15*100</f>
        <v>99.937956896747153</v>
      </c>
      <c r="W15" s="249"/>
      <c r="X15" s="249"/>
      <c r="Y15" s="249"/>
      <c r="Z15" s="249"/>
      <c r="AA15" s="249"/>
      <c r="AB15" s="249"/>
      <c r="AC15" s="249"/>
      <c r="AD15" s="248">
        <f>SUM(AD14:AD14)</f>
        <v>52</v>
      </c>
      <c r="AE15" s="248"/>
      <c r="AF15" s="251"/>
      <c r="AG15" s="251"/>
      <c r="AH15" s="251"/>
      <c r="AI15" s="256"/>
    </row>
    <row r="16" spans="1:35" s="199" customFormat="1" x14ac:dyDescent="0.25">
      <c r="A16" s="1"/>
      <c r="D16" s="208"/>
      <c r="E16" s="202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9"/>
      <c r="S16" s="209"/>
      <c r="T16" s="204"/>
      <c r="U16" s="204"/>
      <c r="V16" s="204"/>
      <c r="W16" s="204"/>
      <c r="X16" s="204"/>
      <c r="Y16" s="203"/>
      <c r="Z16" s="203"/>
      <c r="AA16" s="204"/>
      <c r="AB16" s="204"/>
      <c r="AC16" s="204"/>
      <c r="AD16" s="204"/>
      <c r="AE16" s="204"/>
      <c r="AF16" s="204"/>
    </row>
    <row r="17" spans="1:32" s="199" customFormat="1" x14ac:dyDescent="0.25">
      <c r="A17" s="1"/>
      <c r="D17" s="208"/>
      <c r="E17" s="202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9"/>
      <c r="S17" s="209"/>
      <c r="T17" s="204"/>
      <c r="U17" s="204"/>
      <c r="V17" s="204"/>
      <c r="W17" s="204"/>
      <c r="X17" s="204"/>
      <c r="Y17" s="203"/>
      <c r="Z17" s="203"/>
      <c r="AA17" s="204"/>
      <c r="AB17" s="204"/>
      <c r="AC17" s="204"/>
      <c r="AD17" s="204"/>
      <c r="AE17" s="204"/>
      <c r="AF17" s="204"/>
    </row>
    <row r="18" spans="1:32" s="199" customFormat="1" x14ac:dyDescent="0.25">
      <c r="A18" s="1"/>
      <c r="D18" s="208"/>
      <c r="E18" s="202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9"/>
      <c r="S18" s="209"/>
      <c r="T18" s="204"/>
      <c r="U18" s="204"/>
      <c r="V18" s="204"/>
      <c r="W18" s="204"/>
      <c r="X18" s="204"/>
      <c r="Y18" s="203"/>
      <c r="Z18" s="203"/>
      <c r="AA18" s="204"/>
      <c r="AB18" s="204"/>
      <c r="AC18" s="204"/>
      <c r="AD18" s="204"/>
      <c r="AE18" s="204"/>
      <c r="AF18" s="204"/>
    </row>
    <row r="19" spans="1:32" s="199" customFormat="1" x14ac:dyDescent="0.25">
      <c r="A19" s="1"/>
      <c r="D19" s="208"/>
      <c r="E19" s="202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9"/>
      <c r="S19" s="209"/>
      <c r="T19" s="204"/>
      <c r="U19" s="204"/>
      <c r="V19" s="204"/>
      <c r="W19" s="204"/>
      <c r="X19" s="204"/>
      <c r="Y19" s="203"/>
      <c r="Z19" s="203"/>
      <c r="AA19" s="204"/>
      <c r="AB19" s="204"/>
      <c r="AC19" s="204"/>
      <c r="AD19" s="204"/>
      <c r="AE19" s="204"/>
      <c r="AF19" s="204"/>
    </row>
    <row r="20" spans="1:32" s="199" customFormat="1" x14ac:dyDescent="0.25">
      <c r="A20" s="1"/>
      <c r="D20" s="208"/>
      <c r="E20" s="202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9"/>
      <c r="S20" s="209"/>
      <c r="T20" s="204"/>
      <c r="U20" s="204"/>
      <c r="V20" s="204"/>
      <c r="W20" s="204"/>
      <c r="X20" s="204"/>
      <c r="Y20" s="203"/>
      <c r="Z20" s="203"/>
      <c r="AA20" s="204"/>
      <c r="AB20" s="204"/>
      <c r="AC20" s="204"/>
      <c r="AD20" s="204"/>
      <c r="AE20" s="204"/>
      <c r="AF20" s="204"/>
    </row>
    <row r="21" spans="1:32" s="338" customFormat="1" ht="36" customHeight="1" x14ac:dyDescent="0.25">
      <c r="A21" s="352" t="s">
        <v>274</v>
      </c>
      <c r="B21" s="352"/>
      <c r="D21" s="339"/>
      <c r="E21" s="340"/>
      <c r="F21" s="354" t="s">
        <v>278</v>
      </c>
      <c r="G21" s="354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1"/>
      <c r="W21" s="340"/>
      <c r="X21" s="340"/>
      <c r="Y21" s="342"/>
      <c r="Z21" s="342"/>
      <c r="AA21" s="340"/>
      <c r="AB21" s="340"/>
      <c r="AC21" s="340"/>
      <c r="AD21" s="340"/>
      <c r="AE21" s="340"/>
      <c r="AF21" s="340"/>
    </row>
    <row r="22" spans="1:32" s="199" customFormat="1" x14ac:dyDescent="0.25">
      <c r="A22" s="1"/>
      <c r="D22" s="208" t="s">
        <v>277</v>
      </c>
      <c r="E22" s="204"/>
      <c r="F22" s="355" t="s">
        <v>279</v>
      </c>
      <c r="G22" s="355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9"/>
      <c r="W22" s="204"/>
      <c r="X22" s="204"/>
      <c r="Y22" s="203"/>
      <c r="Z22" s="203"/>
      <c r="AA22" s="204"/>
      <c r="AB22" s="204"/>
      <c r="AC22" s="204"/>
      <c r="AD22" s="204"/>
      <c r="AE22" s="204"/>
      <c r="AF22" s="204"/>
    </row>
    <row r="23" spans="1:32" s="199" customFormat="1" x14ac:dyDescent="0.25">
      <c r="A23" s="1"/>
      <c r="D23" s="208"/>
      <c r="E23" s="202"/>
      <c r="R23" s="210"/>
      <c r="S23" s="210"/>
      <c r="Y23" s="205"/>
      <c r="Z23" s="205"/>
    </row>
    <row r="24" spans="1:32" s="199" customFormat="1" x14ac:dyDescent="0.25">
      <c r="A24" s="353" t="s">
        <v>275</v>
      </c>
      <c r="B24" s="353"/>
      <c r="C24" s="353"/>
      <c r="D24" s="353"/>
      <c r="E24" s="353"/>
      <c r="F24" s="353"/>
      <c r="R24" s="210"/>
      <c r="S24" s="210"/>
      <c r="Y24" s="205"/>
      <c r="Z24" s="205"/>
    </row>
    <row r="25" spans="1:32" s="199" customFormat="1" x14ac:dyDescent="0.2">
      <c r="A25" s="310"/>
      <c r="B25" s="310"/>
      <c r="C25" s="310"/>
      <c r="D25" s="311"/>
      <c r="E25" s="311"/>
      <c r="F25" s="311"/>
      <c r="R25" s="210"/>
      <c r="S25" s="210"/>
      <c r="Y25" s="205"/>
      <c r="Z25" s="205"/>
    </row>
    <row r="26" spans="1:32" s="199" customFormat="1" x14ac:dyDescent="0.2">
      <c r="A26" s="353" t="s">
        <v>276</v>
      </c>
      <c r="B26" s="353"/>
      <c r="C26" s="353"/>
      <c r="D26" s="353"/>
      <c r="E26" s="353"/>
      <c r="F26" s="311"/>
      <c r="R26" s="210"/>
      <c r="S26" s="210"/>
      <c r="Y26" s="205"/>
      <c r="Z26" s="205"/>
    </row>
  </sheetData>
  <mergeCells count="62">
    <mergeCell ref="A21:B21"/>
    <mergeCell ref="A24:F24"/>
    <mergeCell ref="A26:E26"/>
    <mergeCell ref="F21:G21"/>
    <mergeCell ref="F22:G22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W5:X5"/>
    <mergeCell ref="Q5:Q6"/>
    <mergeCell ref="R5:S5"/>
    <mergeCell ref="T5:T6"/>
    <mergeCell ref="U5:U6"/>
    <mergeCell ref="V5:V6"/>
    <mergeCell ref="A11:A13"/>
    <mergeCell ref="B11:B13"/>
    <mergeCell ref="C11:C13"/>
    <mergeCell ref="D11:D13"/>
    <mergeCell ref="O11:O13"/>
    <mergeCell ref="P11:P13"/>
    <mergeCell ref="Q11:Q13"/>
    <mergeCell ref="T11:T13"/>
    <mergeCell ref="U11:U13"/>
    <mergeCell ref="V11:V13"/>
    <mergeCell ref="W11:W13"/>
    <mergeCell ref="X11:X13"/>
    <mergeCell ref="Y11:Y13"/>
    <mergeCell ref="Z11:Z13"/>
    <mergeCell ref="R11:R13"/>
    <mergeCell ref="S11:S13"/>
    <mergeCell ref="AF11:AF13"/>
    <mergeCell ref="AG11:AG13"/>
    <mergeCell ref="AH11:AH13"/>
    <mergeCell ref="AI11:AI13"/>
    <mergeCell ref="AA11:AA13"/>
    <mergeCell ref="AB11:AB13"/>
    <mergeCell ref="AC11:AC13"/>
    <mergeCell ref="AD11:AD13"/>
    <mergeCell ref="AE11:AE13"/>
  </mergeCells>
  <printOptions horizontalCentered="1"/>
  <pageMargins left="0.196527777777778" right="0.196527777777778" top="0.94513888888888897" bottom="0.15763888888888899" header="0.31527777777777799" footer="0.51180555555555496"/>
  <pageSetup paperSize="8" scale="47" firstPageNumber="0" fitToHeight="0" orientation="landscape" r:id="rId1"/>
  <headerFooter>
    <oddHeader>&amp;R&amp;"Times New Roman,Обычный"&amp;14&amp;P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DDC"/>
    <pageSetUpPr fitToPage="1"/>
  </sheetPr>
  <dimension ref="A1:AI24"/>
  <sheetViews>
    <sheetView view="pageBreakPreview" zoomScale="85" zoomScaleNormal="70" zoomScalePageLayoutView="85" workbookViewId="0">
      <pane xSplit="2" ySplit="7" topLeftCell="N8" activePane="bottomRight" state="frozen"/>
      <selection pane="topRight" activeCell="C1" sqref="C1"/>
      <selection pane="bottomLeft" activeCell="A7" sqref="A7"/>
      <selection pane="bottomRight" activeCell="AG9" sqref="AG9"/>
    </sheetView>
  </sheetViews>
  <sheetFormatPr defaultRowHeight="15" x14ac:dyDescent="0.25"/>
  <cols>
    <col min="1" max="1" width="14" style="1" customWidth="1"/>
    <col min="2" max="2" width="20" style="287" customWidth="1"/>
    <col min="3" max="3" width="15.5703125" style="287" customWidth="1"/>
    <col min="4" max="4" width="9.5703125" style="234" customWidth="1"/>
    <col min="5" max="5" width="10.85546875" style="287" customWidth="1"/>
    <col min="6" max="6" width="13.7109375" style="287" customWidth="1"/>
    <col min="7" max="7" width="12" style="287" customWidth="1"/>
    <col min="8" max="8" width="14.7109375" style="287" customWidth="1"/>
    <col min="9" max="11" width="11.7109375" style="287" customWidth="1"/>
    <col min="12" max="12" width="12.28515625" style="287" customWidth="1"/>
    <col min="13" max="14" width="7.5703125" style="287" customWidth="1"/>
    <col min="15" max="15" width="13.5703125" style="287" customWidth="1"/>
    <col min="16" max="16" width="12.85546875" style="287" customWidth="1"/>
    <col min="17" max="17" width="14.85546875" style="287" customWidth="1"/>
    <col min="18" max="19" width="12" style="234" customWidth="1"/>
    <col min="20" max="21" width="11.7109375" style="287" customWidth="1"/>
    <col min="22" max="22" width="12.28515625" style="287" customWidth="1"/>
    <col min="23" max="24" width="7.28515625" style="287" customWidth="1"/>
    <col min="25" max="25" width="13.5703125" style="7" customWidth="1"/>
    <col min="26" max="26" width="12.5703125" style="7" customWidth="1"/>
    <col min="27" max="27" width="15.28515625" style="287" customWidth="1"/>
    <col min="28" max="29" width="11.7109375" style="287" customWidth="1"/>
    <col min="30" max="30" width="13" style="287" customWidth="1"/>
    <col min="31" max="31" width="10.5703125" style="287" customWidth="1"/>
    <col min="32" max="32" width="25.28515625" style="287" customWidth="1"/>
    <col min="33" max="33" width="9.85546875" style="287" customWidth="1"/>
    <col min="34" max="35" width="11.5703125" style="287" customWidth="1"/>
    <col min="36" max="1025" width="8.85546875" style="287" customWidth="1"/>
    <col min="1026" max="16384" width="9.140625" style="287"/>
  </cols>
  <sheetData>
    <row r="1" spans="1:35" s="345" customFormat="1" ht="32.1" customHeight="1" x14ac:dyDescent="0.25">
      <c r="A1" s="347" t="s">
        <v>49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</row>
    <row r="2" spans="1:35" ht="20.25" x14ac:dyDescent="0.25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</row>
    <row r="3" spans="1:35" ht="29.25" customHeight="1" x14ac:dyDescent="0.25">
      <c r="A3" s="348" t="s">
        <v>1</v>
      </c>
      <c r="B3" s="348" t="s">
        <v>2</v>
      </c>
      <c r="C3" s="348" t="s">
        <v>3</v>
      </c>
      <c r="D3" s="348" t="s">
        <v>4</v>
      </c>
      <c r="E3" s="348" t="s">
        <v>5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9" t="s">
        <v>6</v>
      </c>
      <c r="Z3" s="349"/>
      <c r="AA3" s="349"/>
      <c r="AB3" s="349"/>
      <c r="AC3" s="349"/>
      <c r="AD3" s="348" t="s">
        <v>7</v>
      </c>
      <c r="AE3" s="348" t="s">
        <v>309</v>
      </c>
      <c r="AF3" s="348" t="s">
        <v>9</v>
      </c>
      <c r="AG3" s="348"/>
      <c r="AH3" s="348"/>
      <c r="AI3" s="348"/>
    </row>
    <row r="4" spans="1:35" ht="17.649999999999999" customHeight="1" x14ac:dyDescent="0.25">
      <c r="A4" s="348"/>
      <c r="B4" s="348"/>
      <c r="C4" s="348"/>
      <c r="D4" s="348"/>
      <c r="E4" s="350" t="s">
        <v>10</v>
      </c>
      <c r="F4" s="350"/>
      <c r="G4" s="350"/>
      <c r="H4" s="350"/>
      <c r="I4" s="350"/>
      <c r="J4" s="350"/>
      <c r="K4" s="350"/>
      <c r="L4" s="350"/>
      <c r="M4" s="350"/>
      <c r="N4" s="350"/>
      <c r="O4" s="351" t="s">
        <v>11</v>
      </c>
      <c r="P4" s="351"/>
      <c r="Q4" s="351"/>
      <c r="R4" s="351"/>
      <c r="S4" s="351"/>
      <c r="T4" s="351"/>
      <c r="U4" s="351"/>
      <c r="V4" s="351"/>
      <c r="W4" s="351"/>
      <c r="X4" s="351"/>
      <c r="Y4" s="346" t="s">
        <v>12</v>
      </c>
      <c r="Z4" s="346" t="s">
        <v>13</v>
      </c>
      <c r="AA4" s="346" t="s">
        <v>14</v>
      </c>
      <c r="AB4" s="346" t="s">
        <v>15</v>
      </c>
      <c r="AC4" s="346"/>
      <c r="AD4" s="348"/>
      <c r="AE4" s="348"/>
      <c r="AF4" s="348"/>
      <c r="AG4" s="348"/>
      <c r="AH4" s="348"/>
      <c r="AI4" s="348"/>
    </row>
    <row r="5" spans="1:35" ht="108" customHeight="1" x14ac:dyDescent="0.25">
      <c r="A5" s="348"/>
      <c r="B5" s="348"/>
      <c r="C5" s="348"/>
      <c r="D5" s="348"/>
      <c r="E5" s="346" t="s">
        <v>16</v>
      </c>
      <c r="F5" s="346" t="s">
        <v>17</v>
      </c>
      <c r="G5" s="346" t="s">
        <v>18</v>
      </c>
      <c r="H5" s="346" t="s">
        <v>19</v>
      </c>
      <c r="I5" s="346" t="s">
        <v>20</v>
      </c>
      <c r="J5" s="346"/>
      <c r="K5" s="346" t="s">
        <v>21</v>
      </c>
      <c r="L5" s="346" t="s">
        <v>22</v>
      </c>
      <c r="M5" s="346" t="s">
        <v>23</v>
      </c>
      <c r="N5" s="346"/>
      <c r="O5" s="346" t="s">
        <v>24</v>
      </c>
      <c r="P5" s="346" t="s">
        <v>25</v>
      </c>
      <c r="Q5" s="346" t="s">
        <v>26</v>
      </c>
      <c r="R5" s="346" t="s">
        <v>15</v>
      </c>
      <c r="S5" s="346"/>
      <c r="T5" s="346" t="s">
        <v>307</v>
      </c>
      <c r="U5" s="346" t="s">
        <v>28</v>
      </c>
      <c r="V5" s="346" t="s">
        <v>29</v>
      </c>
      <c r="W5" s="346" t="s">
        <v>23</v>
      </c>
      <c r="X5" s="346"/>
      <c r="Y5" s="346"/>
      <c r="Z5" s="346"/>
      <c r="AA5" s="346"/>
      <c r="AB5" s="346"/>
      <c r="AC5" s="346"/>
      <c r="AD5" s="348"/>
      <c r="AE5" s="348"/>
      <c r="AF5" s="348"/>
      <c r="AG5" s="348"/>
      <c r="AH5" s="348"/>
      <c r="AI5" s="348"/>
    </row>
    <row r="6" spans="1:35" ht="91.5" customHeight="1" x14ac:dyDescent="0.25">
      <c r="A6" s="348"/>
      <c r="B6" s="348"/>
      <c r="C6" s="348"/>
      <c r="D6" s="348"/>
      <c r="E6" s="346"/>
      <c r="F6" s="346"/>
      <c r="G6" s="346"/>
      <c r="H6" s="346"/>
      <c r="I6" s="10" t="s">
        <v>30</v>
      </c>
      <c r="J6" s="11" t="s">
        <v>31</v>
      </c>
      <c r="K6" s="346"/>
      <c r="L6" s="346"/>
      <c r="M6" s="10" t="s">
        <v>32</v>
      </c>
      <c r="N6" s="11" t="s">
        <v>33</v>
      </c>
      <c r="O6" s="346"/>
      <c r="P6" s="346"/>
      <c r="Q6" s="346"/>
      <c r="R6" s="10" t="s">
        <v>34</v>
      </c>
      <c r="S6" s="11" t="s">
        <v>31</v>
      </c>
      <c r="T6" s="346"/>
      <c r="U6" s="346"/>
      <c r="V6" s="346"/>
      <c r="W6" s="10" t="s">
        <v>32</v>
      </c>
      <c r="X6" s="11" t="s">
        <v>33</v>
      </c>
      <c r="Y6" s="346"/>
      <c r="Z6" s="346"/>
      <c r="AA6" s="346"/>
      <c r="AB6" s="12" t="s">
        <v>30</v>
      </c>
      <c r="AC6" s="12" t="s">
        <v>31</v>
      </c>
      <c r="AD6" s="348"/>
      <c r="AE6" s="348"/>
      <c r="AF6" s="12" t="s">
        <v>35</v>
      </c>
      <c r="AG6" s="12" t="s">
        <v>36</v>
      </c>
      <c r="AH6" s="12" t="s">
        <v>37</v>
      </c>
      <c r="AI6" s="12" t="s">
        <v>38</v>
      </c>
    </row>
    <row r="7" spans="1:35" s="288" customFormat="1" x14ac:dyDescent="0.25">
      <c r="A7" s="228">
        <v>1</v>
      </c>
      <c r="B7" s="228">
        <v>2</v>
      </c>
      <c r="C7" s="228">
        <v>3</v>
      </c>
      <c r="D7" s="228">
        <v>4</v>
      </c>
      <c r="E7" s="228">
        <v>5</v>
      </c>
      <c r="F7" s="228">
        <v>6</v>
      </c>
      <c r="G7" s="228">
        <v>7</v>
      </c>
      <c r="H7" s="228">
        <v>8</v>
      </c>
      <c r="I7" s="228">
        <v>9</v>
      </c>
      <c r="J7" s="228">
        <v>10</v>
      </c>
      <c r="K7" s="228">
        <v>11</v>
      </c>
      <c r="L7" s="228">
        <v>12</v>
      </c>
      <c r="M7" s="228">
        <v>13</v>
      </c>
      <c r="N7" s="228">
        <v>14</v>
      </c>
      <c r="O7" s="228">
        <v>15</v>
      </c>
      <c r="P7" s="228">
        <v>16</v>
      </c>
      <c r="Q7" s="228">
        <v>17</v>
      </c>
      <c r="R7" s="228">
        <v>18</v>
      </c>
      <c r="S7" s="228">
        <v>19</v>
      </c>
      <c r="T7" s="228">
        <v>20</v>
      </c>
      <c r="U7" s="228">
        <v>21</v>
      </c>
      <c r="V7" s="228">
        <v>22</v>
      </c>
      <c r="W7" s="228">
        <v>23</v>
      </c>
      <c r="X7" s="228">
        <v>24</v>
      </c>
      <c r="Y7" s="228">
        <v>25</v>
      </c>
      <c r="Z7" s="228">
        <v>26</v>
      </c>
      <c r="AA7" s="228">
        <v>27</v>
      </c>
      <c r="AB7" s="228">
        <v>28</v>
      </c>
      <c r="AC7" s="228">
        <v>29</v>
      </c>
      <c r="AD7" s="228">
        <v>30</v>
      </c>
      <c r="AE7" s="228">
        <v>31</v>
      </c>
      <c r="AF7" s="228">
        <v>32</v>
      </c>
      <c r="AG7" s="228">
        <v>33</v>
      </c>
      <c r="AH7" s="228">
        <v>34</v>
      </c>
      <c r="AI7" s="206">
        <v>35</v>
      </c>
    </row>
    <row r="8" spans="1:35" s="290" customFormat="1" ht="63" customHeight="1" x14ac:dyDescent="0.25">
      <c r="A8" s="226">
        <v>764</v>
      </c>
      <c r="B8" s="223" t="s">
        <v>257</v>
      </c>
      <c r="C8" s="224" t="s">
        <v>41</v>
      </c>
      <c r="D8" s="225">
        <v>4</v>
      </c>
      <c r="E8" s="226" t="s">
        <v>258</v>
      </c>
      <c r="F8" s="230">
        <f>211+634+358+1705</f>
        <v>2908</v>
      </c>
      <c r="G8" s="230">
        <f>278+674+358+1705</f>
        <v>3015</v>
      </c>
      <c r="H8" s="238">
        <f>(G8-F8)/F8*100</f>
        <v>3.6795048143053641</v>
      </c>
      <c r="I8" s="230"/>
      <c r="J8" s="230"/>
      <c r="K8" s="230">
        <f>282+674+358+1888</f>
        <v>3202</v>
      </c>
      <c r="L8" s="239">
        <f t="shared" ref="L8:L11" si="0">K8/G8*100</f>
        <v>106.20232172470978</v>
      </c>
      <c r="M8" s="230"/>
      <c r="N8" s="230"/>
      <c r="O8" s="241">
        <f>55709.2*1.00211395</f>
        <v>55826.966463339995</v>
      </c>
      <c r="P8" s="241">
        <v>54991.6</v>
      </c>
      <c r="Q8" s="244">
        <f t="shared" ref="Q8:Q11" si="1">(P8-O8)/O8*100</f>
        <v>-1.4963493742554657</v>
      </c>
      <c r="R8" s="230"/>
      <c r="S8" s="230">
        <v>1</v>
      </c>
      <c r="T8" s="241">
        <f>53847*1.000737499</f>
        <v>53886.712108652995</v>
      </c>
      <c r="U8" s="241">
        <f>53561.2*1.0007394073</f>
        <v>53600.803542276757</v>
      </c>
      <c r="V8" s="279">
        <f t="shared" ref="V8:V11" si="2">T8/P8*100</f>
        <v>97.99080606611372</v>
      </c>
      <c r="W8" s="230"/>
      <c r="X8" s="230"/>
      <c r="Y8" s="289">
        <f>O8/F8*1000</f>
        <v>19197.718866348005</v>
      </c>
      <c r="Z8" s="289">
        <f>P8/G8*1000</f>
        <v>18239.336650082918</v>
      </c>
      <c r="AA8" s="244">
        <f t="shared" ref="AA8:AA11" si="3">(Z8-Y8)/Y8*100</f>
        <v>-4.9921671576566871</v>
      </c>
      <c r="AB8" s="230"/>
      <c r="AC8" s="230"/>
      <c r="AD8" s="242">
        <f>T8-U8</f>
        <v>285.90856637623801</v>
      </c>
      <c r="AE8" s="242">
        <f>K8/G8*100</f>
        <v>106.20232172470978</v>
      </c>
      <c r="AF8" s="230" t="s">
        <v>259</v>
      </c>
      <c r="AG8" s="230">
        <f>278+674+358+1705</f>
        <v>3015</v>
      </c>
      <c r="AH8" s="230">
        <f>282+674+358+1888</f>
        <v>3202</v>
      </c>
      <c r="AI8" s="238">
        <f>AH8/AG8*100</f>
        <v>106.20232172470978</v>
      </c>
    </row>
    <row r="9" spans="1:35" s="290" customFormat="1" ht="63" customHeight="1" x14ac:dyDescent="0.25">
      <c r="A9" s="226">
        <v>764</v>
      </c>
      <c r="B9" s="223" t="s">
        <v>260</v>
      </c>
      <c r="C9" s="224" t="s">
        <v>41</v>
      </c>
      <c r="D9" s="225">
        <v>4</v>
      </c>
      <c r="E9" s="226" t="s">
        <v>258</v>
      </c>
      <c r="F9" s="230">
        <f>126+274+32+41</f>
        <v>473</v>
      </c>
      <c r="G9" s="230">
        <f>76+272+32+41</f>
        <v>421</v>
      </c>
      <c r="H9" s="238">
        <f t="shared" ref="H9:H11" si="4">(G9-F9)/F9*100</f>
        <v>-10.993657505285412</v>
      </c>
      <c r="I9" s="230"/>
      <c r="J9" s="230">
        <v>1</v>
      </c>
      <c r="K9" s="230">
        <f>76+272+32+41</f>
        <v>421</v>
      </c>
      <c r="L9" s="239">
        <f t="shared" si="0"/>
        <v>100</v>
      </c>
      <c r="M9" s="230"/>
      <c r="N9" s="230"/>
      <c r="O9" s="241">
        <f>24398.4*1.00211395</f>
        <v>24449.976997680002</v>
      </c>
      <c r="P9" s="241">
        <v>20447.3</v>
      </c>
      <c r="Q9" s="244">
        <f t="shared" si="1"/>
        <v>-16.370882467741406</v>
      </c>
      <c r="R9" s="230"/>
      <c r="S9" s="230">
        <v>4</v>
      </c>
      <c r="T9" s="241">
        <f>19997.9*1.000737499</f>
        <v>20012.648431252102</v>
      </c>
      <c r="U9" s="241">
        <f>19929.7*1.0007394073</f>
        <v>19944.436165666812</v>
      </c>
      <c r="V9" s="279">
        <f t="shared" si="2"/>
        <v>97.874283799093789</v>
      </c>
      <c r="W9" s="230"/>
      <c r="X9" s="230"/>
      <c r="Y9" s="289">
        <f t="shared" ref="Y9:Y11" si="5">O9/F9*1000</f>
        <v>51691.283293192391</v>
      </c>
      <c r="Z9" s="289">
        <f t="shared" ref="Z9:Z11" si="6">P9/G9*1000</f>
        <v>48568.408551068882</v>
      </c>
      <c r="AA9" s="244">
        <f t="shared" si="3"/>
        <v>-6.041395266607327</v>
      </c>
      <c r="AB9" s="230"/>
      <c r="AC9" s="230"/>
      <c r="AD9" s="242">
        <f t="shared" ref="AD9:AD11" si="7">T9-U9</f>
        <v>68.212265585290879</v>
      </c>
      <c r="AE9" s="242">
        <v>100</v>
      </c>
      <c r="AF9" s="230" t="s">
        <v>259</v>
      </c>
      <c r="AG9" s="230">
        <f>76+272+32+41</f>
        <v>421</v>
      </c>
      <c r="AH9" s="230">
        <f>76+272+32+41</f>
        <v>421</v>
      </c>
      <c r="AI9" s="238">
        <f t="shared" ref="AI9:AI11" si="8">AH9/AG9*100</f>
        <v>100</v>
      </c>
    </row>
    <row r="10" spans="1:35" s="290" customFormat="1" ht="63" customHeight="1" x14ac:dyDescent="0.25">
      <c r="A10" s="226">
        <v>764</v>
      </c>
      <c r="B10" s="223" t="s">
        <v>261</v>
      </c>
      <c r="C10" s="224" t="s">
        <v>41</v>
      </c>
      <c r="D10" s="225">
        <v>1</v>
      </c>
      <c r="E10" s="226" t="s">
        <v>258</v>
      </c>
      <c r="F10" s="230">
        <v>36</v>
      </c>
      <c r="G10" s="230">
        <v>33</v>
      </c>
      <c r="H10" s="238">
        <f t="shared" si="4"/>
        <v>-8.3333333333333321</v>
      </c>
      <c r="I10" s="230"/>
      <c r="J10" s="230"/>
      <c r="K10" s="230">
        <v>33</v>
      </c>
      <c r="L10" s="239">
        <f t="shared" si="0"/>
        <v>100</v>
      </c>
      <c r="M10" s="230"/>
      <c r="N10" s="230"/>
      <c r="O10" s="241">
        <f>1107.5*1.00211395</f>
        <v>1109.8411996249999</v>
      </c>
      <c r="P10" s="241">
        <v>822.1</v>
      </c>
      <c r="Q10" s="244">
        <f t="shared" si="1"/>
        <v>-25.926339707178265</v>
      </c>
      <c r="R10" s="230"/>
      <c r="S10" s="230">
        <v>1</v>
      </c>
      <c r="T10" s="241">
        <f>811.1*1.000737499</f>
        <v>811.69818543890005</v>
      </c>
      <c r="U10" s="241">
        <f>810.1*1.0007394073</f>
        <v>810.69899385373003</v>
      </c>
      <c r="V10" s="279">
        <f t="shared" si="2"/>
        <v>98.734726364055476</v>
      </c>
      <c r="W10" s="230"/>
      <c r="X10" s="230"/>
      <c r="Y10" s="289">
        <f t="shared" si="5"/>
        <v>30828.922211805555</v>
      </c>
      <c r="Z10" s="289">
        <f t="shared" si="6"/>
        <v>24912.121212121216</v>
      </c>
      <c r="AA10" s="244">
        <f t="shared" si="3"/>
        <v>-19.192370589649009</v>
      </c>
      <c r="AB10" s="230"/>
      <c r="AC10" s="230">
        <v>1</v>
      </c>
      <c r="AD10" s="242">
        <f t="shared" si="7"/>
        <v>0.99919158517002415</v>
      </c>
      <c r="AE10" s="242">
        <v>100</v>
      </c>
      <c r="AF10" s="230" t="s">
        <v>259</v>
      </c>
      <c r="AG10" s="230">
        <v>33</v>
      </c>
      <c r="AH10" s="230">
        <v>33</v>
      </c>
      <c r="AI10" s="238">
        <f t="shared" si="8"/>
        <v>100</v>
      </c>
    </row>
    <row r="11" spans="1:35" s="290" customFormat="1" ht="63" customHeight="1" x14ac:dyDescent="0.25">
      <c r="A11" s="226">
        <v>764</v>
      </c>
      <c r="B11" s="223" t="s">
        <v>262</v>
      </c>
      <c r="C11" s="224" t="s">
        <v>41</v>
      </c>
      <c r="D11" s="225">
        <v>2</v>
      </c>
      <c r="E11" s="226" t="s">
        <v>258</v>
      </c>
      <c r="F11" s="230">
        <v>20</v>
      </c>
      <c r="G11" s="230">
        <v>20</v>
      </c>
      <c r="H11" s="238">
        <f t="shared" si="4"/>
        <v>0</v>
      </c>
      <c r="I11" s="230"/>
      <c r="J11" s="230"/>
      <c r="K11" s="230">
        <v>20</v>
      </c>
      <c r="L11" s="239">
        <f t="shared" si="0"/>
        <v>100</v>
      </c>
      <c r="M11" s="230"/>
      <c r="N11" s="230"/>
      <c r="O11" s="241">
        <f>101.5*1.00211395</f>
        <v>101.714565925</v>
      </c>
      <c r="P11" s="241">
        <v>84.2</v>
      </c>
      <c r="Q11" s="244">
        <f t="shared" si="1"/>
        <v>-17.219329174461105</v>
      </c>
      <c r="R11" s="230"/>
      <c r="S11" s="230">
        <v>1</v>
      </c>
      <c r="T11" s="241">
        <f>83*1.000737499</f>
        <v>83.061212416999993</v>
      </c>
      <c r="U11" s="241">
        <f>82.9*1.0007394073</f>
        <v>82.961296865169999</v>
      </c>
      <c r="V11" s="279">
        <f t="shared" si="2"/>
        <v>98.64752068527315</v>
      </c>
      <c r="W11" s="230"/>
      <c r="X11" s="230"/>
      <c r="Y11" s="289">
        <f t="shared" si="5"/>
        <v>5085.7282962500003</v>
      </c>
      <c r="Z11" s="289">
        <f t="shared" si="6"/>
        <v>4210</v>
      </c>
      <c r="AA11" s="244">
        <f t="shared" si="3"/>
        <v>-17.219329174461112</v>
      </c>
      <c r="AB11" s="230"/>
      <c r="AC11" s="230">
        <v>1</v>
      </c>
      <c r="AD11" s="242">
        <f t="shared" si="7"/>
        <v>9.9915551829994342E-2</v>
      </c>
      <c r="AE11" s="242">
        <v>100</v>
      </c>
      <c r="AF11" s="230" t="s">
        <v>259</v>
      </c>
      <c r="AG11" s="230">
        <v>20</v>
      </c>
      <c r="AH11" s="230">
        <v>20</v>
      </c>
      <c r="AI11" s="238">
        <f t="shared" si="8"/>
        <v>100</v>
      </c>
    </row>
    <row r="12" spans="1:35" s="291" customFormat="1" x14ac:dyDescent="0.25">
      <c r="A12" s="214"/>
      <c r="B12" s="255" t="s">
        <v>43</v>
      </c>
      <c r="C12" s="216"/>
      <c r="D12" s="217"/>
      <c r="E12" s="218"/>
      <c r="F12" s="218"/>
      <c r="G12" s="218"/>
      <c r="H12" s="244"/>
      <c r="I12" s="218"/>
      <c r="J12" s="218"/>
      <c r="K12" s="218"/>
      <c r="L12" s="244"/>
      <c r="M12" s="218"/>
      <c r="N12" s="218"/>
      <c r="O12" s="245">
        <f>SUM(O8:O11)</f>
        <v>81488.499226569998</v>
      </c>
      <c r="P12" s="245">
        <f>SUM(P8:P11)</f>
        <v>76345.2</v>
      </c>
      <c r="Q12" s="218">
        <f>(P12-O12)/O12*100</f>
        <v>-6.3116872630941598</v>
      </c>
      <c r="R12" s="218"/>
      <c r="S12" s="218"/>
      <c r="T12" s="245">
        <f>SUM(T8:T11)</f>
        <v>74794.119937761003</v>
      </c>
      <c r="U12" s="245">
        <f>SUM(U8:U11)</f>
        <v>74438.899998662469</v>
      </c>
      <c r="V12" s="218">
        <f>U12/P12*100</f>
        <v>97.503051925546686</v>
      </c>
      <c r="W12" s="218"/>
      <c r="X12" s="218"/>
      <c r="Y12" s="218"/>
      <c r="Z12" s="218"/>
      <c r="AA12" s="218"/>
      <c r="AB12" s="218"/>
      <c r="AC12" s="218"/>
      <c r="AD12" s="246">
        <f>T12-U12</f>
        <v>355.21993909853336</v>
      </c>
      <c r="AE12" s="245"/>
      <c r="AF12" s="285"/>
      <c r="AG12" s="219"/>
      <c r="AH12" s="285"/>
      <c r="AI12" s="286"/>
    </row>
    <row r="13" spans="1:35" s="291" customFormat="1" ht="32.25" customHeight="1" x14ac:dyDescent="0.25">
      <c r="A13" s="214"/>
      <c r="B13" s="255" t="s">
        <v>45</v>
      </c>
      <c r="C13" s="218"/>
      <c r="D13" s="218"/>
      <c r="E13" s="218"/>
      <c r="F13" s="247"/>
      <c r="G13" s="247"/>
      <c r="H13" s="247"/>
      <c r="I13" s="247"/>
      <c r="J13" s="247"/>
      <c r="K13" s="247"/>
      <c r="L13" s="247"/>
      <c r="M13" s="247"/>
      <c r="N13" s="247"/>
      <c r="O13" s="248">
        <f>SUM(O12:O12)</f>
        <v>81488.499226569998</v>
      </c>
      <c r="P13" s="248">
        <f>SUM(P12:P12)</f>
        <v>76345.2</v>
      </c>
      <c r="Q13" s="218">
        <f>(P13-O13)/O13*100</f>
        <v>-6.3116872630941598</v>
      </c>
      <c r="R13" s="249"/>
      <c r="S13" s="249"/>
      <c r="T13" s="248">
        <f>SUM(T12:T12)</f>
        <v>74794.119937761003</v>
      </c>
      <c r="U13" s="248">
        <f>SUM(U12:U12)</f>
        <v>74438.899998662469</v>
      </c>
      <c r="V13" s="280">
        <f>U13/P13*100</f>
        <v>97.503051925546686</v>
      </c>
      <c r="W13" s="249"/>
      <c r="X13" s="249"/>
      <c r="Y13" s="249"/>
      <c r="Z13" s="249"/>
      <c r="AA13" s="249"/>
      <c r="AB13" s="249"/>
      <c r="AC13" s="249"/>
      <c r="AD13" s="248">
        <f>SUM(AD12:AD12)</f>
        <v>355.21993909853336</v>
      </c>
      <c r="AE13" s="248"/>
      <c r="AF13" s="251"/>
      <c r="AG13" s="251"/>
      <c r="AH13" s="251"/>
      <c r="AI13" s="256"/>
    </row>
    <row r="14" spans="1:35" s="199" customFormat="1" x14ac:dyDescent="0.25">
      <c r="A14" s="1"/>
      <c r="D14" s="208"/>
      <c r="E14" s="202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9"/>
      <c r="S14" s="209"/>
      <c r="T14" s="204"/>
      <c r="U14" s="204"/>
      <c r="V14" s="204"/>
      <c r="W14" s="204"/>
      <c r="X14" s="204"/>
      <c r="Y14" s="203"/>
      <c r="Z14" s="203"/>
      <c r="AA14" s="204"/>
      <c r="AB14" s="204"/>
      <c r="AC14" s="204"/>
      <c r="AD14" s="204"/>
      <c r="AE14" s="204"/>
      <c r="AF14" s="204"/>
    </row>
    <row r="15" spans="1:35" s="199" customFormat="1" x14ac:dyDescent="0.25">
      <c r="A15" s="1"/>
      <c r="D15" s="208"/>
      <c r="E15" s="202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9"/>
      <c r="S15" s="209"/>
      <c r="T15" s="204"/>
      <c r="U15" s="204"/>
      <c r="V15" s="204"/>
      <c r="W15" s="204"/>
      <c r="X15" s="204"/>
      <c r="Y15" s="203"/>
      <c r="Z15" s="203"/>
      <c r="AA15" s="204"/>
      <c r="AB15" s="204"/>
      <c r="AC15" s="204"/>
      <c r="AD15" s="204"/>
      <c r="AE15" s="204"/>
      <c r="AF15" s="204"/>
    </row>
    <row r="16" spans="1:35" s="199" customFormat="1" x14ac:dyDescent="0.25">
      <c r="A16" s="1"/>
      <c r="D16" s="208"/>
      <c r="E16" s="202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9"/>
      <c r="S16" s="209"/>
      <c r="T16" s="204"/>
      <c r="U16" s="204"/>
      <c r="V16" s="204"/>
      <c r="W16" s="204"/>
      <c r="X16" s="204"/>
      <c r="Y16" s="203"/>
      <c r="Z16" s="203"/>
      <c r="AA16" s="204"/>
      <c r="AB16" s="204"/>
      <c r="AC16" s="204"/>
      <c r="AD16" s="204"/>
      <c r="AE16" s="204"/>
      <c r="AF16" s="204"/>
    </row>
    <row r="17" spans="1:32" s="199" customFormat="1" x14ac:dyDescent="0.25">
      <c r="A17" s="1"/>
      <c r="D17" s="208"/>
      <c r="E17" s="202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9"/>
      <c r="S17" s="209"/>
      <c r="T17" s="204"/>
      <c r="U17" s="204"/>
      <c r="V17" s="204"/>
      <c r="W17" s="204"/>
      <c r="X17" s="204"/>
      <c r="Y17" s="203"/>
      <c r="Z17" s="203"/>
      <c r="AA17" s="204"/>
      <c r="AB17" s="204"/>
      <c r="AC17" s="204"/>
      <c r="AD17" s="204"/>
      <c r="AE17" s="204"/>
      <c r="AF17" s="204"/>
    </row>
    <row r="18" spans="1:32" s="199" customFormat="1" x14ac:dyDescent="0.25">
      <c r="A18" s="1"/>
      <c r="D18" s="208"/>
      <c r="E18" s="202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9"/>
      <c r="S18" s="209"/>
      <c r="T18" s="204"/>
      <c r="U18" s="204"/>
      <c r="V18" s="204"/>
      <c r="W18" s="204"/>
      <c r="X18" s="204"/>
      <c r="Y18" s="203"/>
      <c r="Z18" s="203"/>
      <c r="AA18" s="204"/>
      <c r="AB18" s="204"/>
      <c r="AC18" s="204"/>
      <c r="AD18" s="204"/>
      <c r="AE18" s="204"/>
      <c r="AF18" s="204"/>
    </row>
    <row r="19" spans="1:32" s="338" customFormat="1" ht="36" customHeight="1" x14ac:dyDescent="0.25">
      <c r="A19" s="352" t="s">
        <v>274</v>
      </c>
      <c r="B19" s="352"/>
      <c r="D19" s="339"/>
      <c r="E19" s="340"/>
      <c r="F19" s="354" t="s">
        <v>278</v>
      </c>
      <c r="G19" s="354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1"/>
      <c r="W19" s="340"/>
      <c r="X19" s="340"/>
      <c r="Y19" s="342"/>
      <c r="Z19" s="342"/>
      <c r="AA19" s="340"/>
      <c r="AB19" s="340"/>
      <c r="AC19" s="340"/>
      <c r="AD19" s="340"/>
      <c r="AE19" s="340"/>
      <c r="AF19" s="340"/>
    </row>
    <row r="20" spans="1:32" s="199" customFormat="1" x14ac:dyDescent="0.25">
      <c r="A20" s="1"/>
      <c r="D20" s="208" t="s">
        <v>277</v>
      </c>
      <c r="E20" s="204"/>
      <c r="F20" s="355" t="s">
        <v>279</v>
      </c>
      <c r="G20" s="355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9"/>
      <c r="W20" s="204"/>
      <c r="X20" s="204"/>
      <c r="Y20" s="203"/>
      <c r="Z20" s="203"/>
      <c r="AA20" s="204"/>
      <c r="AB20" s="204"/>
      <c r="AC20" s="204"/>
      <c r="AD20" s="204"/>
      <c r="AE20" s="204"/>
      <c r="AF20" s="204"/>
    </row>
    <row r="21" spans="1:32" s="199" customFormat="1" x14ac:dyDescent="0.25">
      <c r="A21" s="1"/>
      <c r="D21" s="208"/>
      <c r="E21" s="202"/>
      <c r="R21" s="210"/>
      <c r="S21" s="210"/>
      <c r="Y21" s="205"/>
      <c r="Z21" s="205"/>
    </row>
    <row r="22" spans="1:32" s="199" customFormat="1" x14ac:dyDescent="0.25">
      <c r="A22" s="353" t="s">
        <v>275</v>
      </c>
      <c r="B22" s="353"/>
      <c r="C22" s="353"/>
      <c r="D22" s="353"/>
      <c r="E22" s="353"/>
      <c r="F22" s="353"/>
      <c r="R22" s="210"/>
      <c r="S22" s="210"/>
      <c r="Y22" s="205"/>
      <c r="Z22" s="205"/>
    </row>
    <row r="23" spans="1:32" s="199" customFormat="1" x14ac:dyDescent="0.2">
      <c r="A23" s="310"/>
      <c r="B23" s="310"/>
      <c r="C23" s="310"/>
      <c r="D23" s="311"/>
      <c r="E23" s="311"/>
      <c r="F23" s="311"/>
      <c r="R23" s="210"/>
      <c r="S23" s="210"/>
      <c r="Y23" s="205"/>
      <c r="Z23" s="205"/>
    </row>
    <row r="24" spans="1:32" s="199" customFormat="1" x14ac:dyDescent="0.2">
      <c r="A24" s="353" t="s">
        <v>276</v>
      </c>
      <c r="B24" s="353"/>
      <c r="C24" s="353"/>
      <c r="D24" s="353"/>
      <c r="E24" s="353"/>
      <c r="F24" s="311"/>
      <c r="R24" s="210"/>
      <c r="S24" s="210"/>
      <c r="Y24" s="205"/>
      <c r="Z24" s="205"/>
    </row>
  </sheetData>
  <mergeCells count="37">
    <mergeCell ref="A19:B19"/>
    <mergeCell ref="A22:F22"/>
    <mergeCell ref="A24:E24"/>
    <mergeCell ref="F19:G19"/>
    <mergeCell ref="F20:G20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W5:X5"/>
    <mergeCell ref="Q5:Q6"/>
    <mergeCell ref="R5:S5"/>
    <mergeCell ref="T5:T6"/>
    <mergeCell ref="U5:U6"/>
    <mergeCell ref="V5:V6"/>
  </mergeCells>
  <printOptions horizontalCentered="1"/>
  <pageMargins left="0.196527777777778" right="0.196527777777778" top="0.94513888888888897" bottom="0.15763888888888899" header="0.31527777777777799" footer="0.51180555555555496"/>
  <pageSetup paperSize="8" scale="48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B80A"/>
    <pageSetUpPr fitToPage="1"/>
  </sheetPr>
  <dimension ref="A1:AI22"/>
  <sheetViews>
    <sheetView view="pageBreakPreview" zoomScale="85" zoomScaleNormal="70" zoomScalePageLayoutView="85" workbookViewId="0">
      <pane xSplit="2" ySplit="7" topLeftCell="O8" activePane="bottomRight" state="frozen"/>
      <selection pane="topRight" activeCell="C1" sqref="C1"/>
      <selection pane="bottomLeft" activeCell="A7" sqref="A7"/>
      <selection pane="bottomRight" activeCell="AF3" sqref="AF3:AI5"/>
    </sheetView>
  </sheetViews>
  <sheetFormatPr defaultRowHeight="15" x14ac:dyDescent="0.25"/>
  <cols>
    <col min="1" max="1" width="14" style="1" customWidth="1"/>
    <col min="2" max="2" width="19.140625" style="2" customWidth="1"/>
    <col min="3" max="3" width="14.85546875" style="2" customWidth="1"/>
    <col min="4" max="4" width="9.5703125" style="234" customWidth="1"/>
    <col min="5" max="5" width="12.28515625" style="5" customWidth="1"/>
    <col min="6" max="6" width="13.7109375" style="2" customWidth="1"/>
    <col min="7" max="7" width="11.85546875" style="2" customWidth="1"/>
    <col min="8" max="8" width="15.42578125" style="2" customWidth="1"/>
    <col min="9" max="11" width="12.140625" style="2" customWidth="1"/>
    <col min="12" max="12" width="12.28515625" style="2" customWidth="1"/>
    <col min="13" max="14" width="7.5703125" style="2" customWidth="1"/>
    <col min="15" max="15" width="13.85546875" style="2" customWidth="1"/>
    <col min="16" max="16" width="11.5703125" style="2" customWidth="1"/>
    <col min="17" max="17" width="15.42578125" style="2" customWidth="1"/>
    <col min="18" max="19" width="11.85546875" style="235" customWidth="1"/>
    <col min="20" max="21" width="12.28515625" style="2" customWidth="1"/>
    <col min="22" max="22" width="11.7109375" style="2" customWidth="1"/>
    <col min="23" max="24" width="7" style="2" customWidth="1"/>
    <col min="25" max="25" width="13.5703125" style="7" customWidth="1"/>
    <col min="26" max="26" width="11" style="7" customWidth="1"/>
    <col min="27" max="27" width="15.28515625" style="2" customWidth="1"/>
    <col min="28" max="29" width="11.7109375" style="2" customWidth="1"/>
    <col min="30" max="30" width="13" style="2" customWidth="1"/>
    <col min="31" max="31" width="11" style="2" customWidth="1"/>
    <col min="32" max="32" width="25.28515625" style="2" customWidth="1"/>
    <col min="33" max="34" width="11.42578125" style="2" customWidth="1"/>
    <col min="35" max="35" width="13.42578125" style="2" customWidth="1"/>
    <col min="36" max="1025" width="8.85546875" style="2" customWidth="1"/>
    <col min="1026" max="16384" width="9.140625" style="2"/>
  </cols>
  <sheetData>
    <row r="1" spans="1:35" ht="32.1" customHeight="1" x14ac:dyDescent="0.25">
      <c r="A1" s="347" t="s">
        <v>50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</row>
    <row r="2" spans="1:35" ht="32.1" customHeight="1" x14ac:dyDescent="0.25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</row>
    <row r="3" spans="1:35" ht="29.25" customHeight="1" x14ac:dyDescent="0.25">
      <c r="A3" s="348" t="s">
        <v>1</v>
      </c>
      <c r="B3" s="348" t="s">
        <v>2</v>
      </c>
      <c r="C3" s="348" t="s">
        <v>3</v>
      </c>
      <c r="D3" s="348" t="s">
        <v>4</v>
      </c>
      <c r="E3" s="348" t="s">
        <v>5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9" t="s">
        <v>6</v>
      </c>
      <c r="Z3" s="349"/>
      <c r="AA3" s="349"/>
      <c r="AB3" s="349"/>
      <c r="AC3" s="349"/>
      <c r="AD3" s="348" t="s">
        <v>7</v>
      </c>
      <c r="AE3" s="348" t="s">
        <v>309</v>
      </c>
      <c r="AF3" s="348" t="s">
        <v>9</v>
      </c>
      <c r="AG3" s="348"/>
      <c r="AH3" s="348"/>
      <c r="AI3" s="348"/>
    </row>
    <row r="4" spans="1:35" ht="17.649999999999999" customHeight="1" x14ac:dyDescent="0.25">
      <c r="A4" s="348"/>
      <c r="B4" s="348"/>
      <c r="C4" s="348"/>
      <c r="D4" s="348"/>
      <c r="E4" s="350" t="s">
        <v>10</v>
      </c>
      <c r="F4" s="350"/>
      <c r="G4" s="350"/>
      <c r="H4" s="350"/>
      <c r="I4" s="350"/>
      <c r="J4" s="350"/>
      <c r="K4" s="350"/>
      <c r="L4" s="350"/>
      <c r="M4" s="350"/>
      <c r="N4" s="350"/>
      <c r="O4" s="351" t="s">
        <v>11</v>
      </c>
      <c r="P4" s="351"/>
      <c r="Q4" s="351"/>
      <c r="R4" s="351"/>
      <c r="S4" s="351"/>
      <c r="T4" s="351"/>
      <c r="U4" s="351"/>
      <c r="V4" s="351"/>
      <c r="W4" s="351"/>
      <c r="X4" s="351"/>
      <c r="Y4" s="346" t="s">
        <v>12</v>
      </c>
      <c r="Z4" s="346" t="s">
        <v>13</v>
      </c>
      <c r="AA4" s="346" t="s">
        <v>14</v>
      </c>
      <c r="AB4" s="346" t="s">
        <v>15</v>
      </c>
      <c r="AC4" s="346"/>
      <c r="AD4" s="348"/>
      <c r="AE4" s="348"/>
      <c r="AF4" s="348"/>
      <c r="AG4" s="348"/>
      <c r="AH4" s="348"/>
      <c r="AI4" s="348"/>
    </row>
    <row r="5" spans="1:35" ht="108" customHeight="1" x14ac:dyDescent="0.25">
      <c r="A5" s="348"/>
      <c r="B5" s="348"/>
      <c r="C5" s="348"/>
      <c r="D5" s="348"/>
      <c r="E5" s="346" t="s">
        <v>16</v>
      </c>
      <c r="F5" s="346" t="s">
        <v>17</v>
      </c>
      <c r="G5" s="346" t="s">
        <v>18</v>
      </c>
      <c r="H5" s="346" t="s">
        <v>19</v>
      </c>
      <c r="I5" s="346" t="s">
        <v>20</v>
      </c>
      <c r="J5" s="346"/>
      <c r="K5" s="346" t="s">
        <v>21</v>
      </c>
      <c r="L5" s="346" t="s">
        <v>22</v>
      </c>
      <c r="M5" s="346" t="s">
        <v>23</v>
      </c>
      <c r="N5" s="346"/>
      <c r="O5" s="346" t="s">
        <v>24</v>
      </c>
      <c r="P5" s="346" t="s">
        <v>25</v>
      </c>
      <c r="Q5" s="346" t="s">
        <v>26</v>
      </c>
      <c r="R5" s="346" t="s">
        <v>27</v>
      </c>
      <c r="S5" s="346"/>
      <c r="T5" s="346" t="s">
        <v>307</v>
      </c>
      <c r="U5" s="346" t="s">
        <v>28</v>
      </c>
      <c r="V5" s="346" t="s">
        <v>29</v>
      </c>
      <c r="W5" s="346" t="s">
        <v>23</v>
      </c>
      <c r="X5" s="346"/>
      <c r="Y5" s="346"/>
      <c r="Z5" s="346"/>
      <c r="AA5" s="346"/>
      <c r="AB5" s="346"/>
      <c r="AC5" s="346"/>
      <c r="AD5" s="348"/>
      <c r="AE5" s="348"/>
      <c r="AF5" s="348"/>
      <c r="AG5" s="348"/>
      <c r="AH5" s="348"/>
      <c r="AI5" s="348"/>
    </row>
    <row r="6" spans="1:35" ht="91.5" customHeight="1" x14ac:dyDescent="0.25">
      <c r="A6" s="348"/>
      <c r="B6" s="348"/>
      <c r="C6" s="348"/>
      <c r="D6" s="348"/>
      <c r="E6" s="346"/>
      <c r="F6" s="346"/>
      <c r="G6" s="346"/>
      <c r="H6" s="346"/>
      <c r="I6" s="10" t="s">
        <v>30</v>
      </c>
      <c r="J6" s="11" t="s">
        <v>31</v>
      </c>
      <c r="K6" s="346"/>
      <c r="L6" s="346"/>
      <c r="M6" s="10" t="s">
        <v>32</v>
      </c>
      <c r="N6" s="11" t="s">
        <v>33</v>
      </c>
      <c r="O6" s="346"/>
      <c r="P6" s="346"/>
      <c r="Q6" s="346"/>
      <c r="R6" s="10" t="s">
        <v>34</v>
      </c>
      <c r="S6" s="11" t="s">
        <v>31</v>
      </c>
      <c r="T6" s="346"/>
      <c r="U6" s="346"/>
      <c r="V6" s="346"/>
      <c r="W6" s="10" t="s">
        <v>32</v>
      </c>
      <c r="X6" s="11" t="s">
        <v>33</v>
      </c>
      <c r="Y6" s="346"/>
      <c r="Z6" s="346"/>
      <c r="AA6" s="346"/>
      <c r="AB6" s="12" t="s">
        <v>30</v>
      </c>
      <c r="AC6" s="12" t="s">
        <v>31</v>
      </c>
      <c r="AD6" s="348"/>
      <c r="AE6" s="348"/>
      <c r="AF6" s="12" t="s">
        <v>35</v>
      </c>
      <c r="AG6" s="12" t="s">
        <v>36</v>
      </c>
      <c r="AH6" s="12" t="s">
        <v>37</v>
      </c>
      <c r="AI6" s="12" t="s">
        <v>38</v>
      </c>
    </row>
    <row r="7" spans="1:35" s="199" customFormat="1" x14ac:dyDescent="0.25">
      <c r="A7" s="211">
        <v>1</v>
      </c>
      <c r="B7" s="211">
        <v>2</v>
      </c>
      <c r="C7" s="211">
        <v>3</v>
      </c>
      <c r="D7" s="211">
        <v>4</v>
      </c>
      <c r="E7" s="211">
        <v>5</v>
      </c>
      <c r="F7" s="211">
        <v>6</v>
      </c>
      <c r="G7" s="211">
        <v>7</v>
      </c>
      <c r="H7" s="211">
        <v>8</v>
      </c>
      <c r="I7" s="211">
        <v>9</v>
      </c>
      <c r="J7" s="211">
        <v>10</v>
      </c>
      <c r="K7" s="211">
        <v>11</v>
      </c>
      <c r="L7" s="211">
        <v>12</v>
      </c>
      <c r="M7" s="211">
        <v>13</v>
      </c>
      <c r="N7" s="211">
        <v>14</v>
      </c>
      <c r="O7" s="211">
        <v>15</v>
      </c>
      <c r="P7" s="211">
        <v>16</v>
      </c>
      <c r="Q7" s="211">
        <v>17</v>
      </c>
      <c r="R7" s="211">
        <v>18</v>
      </c>
      <c r="S7" s="211">
        <v>19</v>
      </c>
      <c r="T7" s="211">
        <v>20</v>
      </c>
      <c r="U7" s="211">
        <v>21</v>
      </c>
      <c r="V7" s="211">
        <v>22</v>
      </c>
      <c r="W7" s="211">
        <v>23</v>
      </c>
      <c r="X7" s="211">
        <v>24</v>
      </c>
      <c r="Y7" s="211">
        <v>25</v>
      </c>
      <c r="Z7" s="211">
        <v>26</v>
      </c>
      <c r="AA7" s="211">
        <v>27</v>
      </c>
      <c r="AB7" s="211">
        <v>28</v>
      </c>
      <c r="AC7" s="211">
        <v>29</v>
      </c>
      <c r="AD7" s="211">
        <v>30</v>
      </c>
      <c r="AE7" s="211">
        <v>31</v>
      </c>
      <c r="AF7" s="211">
        <v>32</v>
      </c>
      <c r="AG7" s="211">
        <v>33</v>
      </c>
      <c r="AH7" s="211">
        <v>34</v>
      </c>
      <c r="AI7" s="206">
        <v>35</v>
      </c>
    </row>
    <row r="8" spans="1:35" s="232" customFormat="1" ht="210" x14ac:dyDescent="0.25">
      <c r="A8" s="227" t="s">
        <v>255</v>
      </c>
      <c r="B8" s="313" t="s">
        <v>244</v>
      </c>
      <c r="C8" s="224" t="s">
        <v>41</v>
      </c>
      <c r="D8" s="225">
        <v>1</v>
      </c>
      <c r="E8" s="226" t="s">
        <v>245</v>
      </c>
      <c r="F8" s="230">
        <v>3616</v>
      </c>
      <c r="G8" s="230">
        <v>3616</v>
      </c>
      <c r="H8" s="238">
        <f t="shared" ref="H8:H9" si="0">(G8-F8)/F8*100</f>
        <v>0</v>
      </c>
      <c r="I8" s="230"/>
      <c r="J8" s="230"/>
      <c r="K8" s="230">
        <v>4619</v>
      </c>
      <c r="L8" s="239">
        <v>128</v>
      </c>
      <c r="M8" s="230">
        <v>1</v>
      </c>
      <c r="N8" s="230"/>
      <c r="O8" s="241">
        <v>6166</v>
      </c>
      <c r="P8" s="241">
        <v>5397.00468</v>
      </c>
      <c r="Q8" s="244">
        <f t="shared" ref="Q8:Q9" si="1">(P8-O8)/O8*100</f>
        <v>-12.471542653259812</v>
      </c>
      <c r="R8" s="230"/>
      <c r="S8" s="230">
        <v>1</v>
      </c>
      <c r="T8" s="241">
        <v>5397.0047000000004</v>
      </c>
      <c r="U8" s="241">
        <v>5397.0047000000004</v>
      </c>
      <c r="V8" s="279">
        <f t="shared" ref="V8:V9" si="2">T8/P8*100</f>
        <v>100.00000037057592</v>
      </c>
      <c r="W8" s="230"/>
      <c r="X8" s="230"/>
      <c r="Y8" s="283">
        <f>O8/F8*1000</f>
        <v>1705.1991150442477</v>
      </c>
      <c r="Z8" s="283">
        <f>P8/G8*1000</f>
        <v>1492.5344800884957</v>
      </c>
      <c r="AA8" s="284">
        <f t="shared" ref="AA8:AA9" si="3">(Z8-Y8)/Y8*100</f>
        <v>-12.471542653259803</v>
      </c>
      <c r="AB8" s="230"/>
      <c r="AC8" s="230">
        <v>1</v>
      </c>
      <c r="AD8" s="242">
        <v>0</v>
      </c>
      <c r="AE8" s="282">
        <v>100</v>
      </c>
      <c r="AF8" s="230" t="s">
        <v>246</v>
      </c>
      <c r="AG8" s="230">
        <v>15.4</v>
      </c>
      <c r="AH8" s="230">
        <v>34.6</v>
      </c>
      <c r="AI8" s="238">
        <f>AH8/AG8*100</f>
        <v>224.67532467532467</v>
      </c>
    </row>
    <row r="9" spans="1:35" s="232" customFormat="1" ht="75" x14ac:dyDescent="0.25">
      <c r="A9" s="227" t="s">
        <v>256</v>
      </c>
      <c r="B9" s="313" t="s">
        <v>247</v>
      </c>
      <c r="C9" s="224" t="s">
        <v>41</v>
      </c>
      <c r="D9" s="225">
        <v>1</v>
      </c>
      <c r="E9" s="226" t="s">
        <v>248</v>
      </c>
      <c r="F9" s="230">
        <v>390</v>
      </c>
      <c r="G9" s="230">
        <v>390</v>
      </c>
      <c r="H9" s="238">
        <f t="shared" si="0"/>
        <v>0</v>
      </c>
      <c r="I9" s="230"/>
      <c r="J9" s="230"/>
      <c r="K9" s="230">
        <v>603</v>
      </c>
      <c r="L9" s="239">
        <f t="shared" ref="L9" si="4">K9/G9*100</f>
        <v>154.61538461538461</v>
      </c>
      <c r="M9" s="230">
        <v>1</v>
      </c>
      <c r="N9" s="230"/>
      <c r="O9" s="241">
        <v>9893</v>
      </c>
      <c r="P9" s="241">
        <v>8790</v>
      </c>
      <c r="Q9" s="244">
        <f t="shared" si="1"/>
        <v>-11.149297483068835</v>
      </c>
      <c r="R9" s="230"/>
      <c r="S9" s="230">
        <v>1</v>
      </c>
      <c r="T9" s="241">
        <v>8790</v>
      </c>
      <c r="U9" s="241">
        <v>8790</v>
      </c>
      <c r="V9" s="279">
        <f t="shared" si="2"/>
        <v>100</v>
      </c>
      <c r="W9" s="230"/>
      <c r="X9" s="230"/>
      <c r="Y9" s="283">
        <f>O9/F9*1000</f>
        <v>25366.666666666668</v>
      </c>
      <c r="Z9" s="283">
        <f>P9/G9*1000</f>
        <v>22538.461538461539</v>
      </c>
      <c r="AA9" s="284">
        <f t="shared" si="3"/>
        <v>-11.149297483068839</v>
      </c>
      <c r="AB9" s="230"/>
      <c r="AC9" s="230">
        <v>1</v>
      </c>
      <c r="AD9" s="242">
        <v>0</v>
      </c>
      <c r="AE9" s="282">
        <v>100</v>
      </c>
      <c r="AF9" s="230" t="s">
        <v>249</v>
      </c>
      <c r="AG9" s="230">
        <v>33.450000000000003</v>
      </c>
      <c r="AH9" s="230">
        <v>37.5</v>
      </c>
      <c r="AI9" s="238">
        <f t="shared" ref="AI9" si="5">AH9/AG9*100</f>
        <v>112.10762331838563</v>
      </c>
    </row>
    <row r="10" spans="1:35" s="233" customFormat="1" x14ac:dyDescent="0.25">
      <c r="A10" s="214"/>
      <c r="B10" s="255" t="s">
        <v>43</v>
      </c>
      <c r="C10" s="216"/>
      <c r="D10" s="217"/>
      <c r="E10" s="218"/>
      <c r="F10" s="218"/>
      <c r="G10" s="218"/>
      <c r="H10" s="244"/>
      <c r="I10" s="218"/>
      <c r="J10" s="218"/>
      <c r="K10" s="218"/>
      <c r="L10" s="244"/>
      <c r="M10" s="218"/>
      <c r="N10" s="218"/>
      <c r="O10" s="245">
        <f>O8+O9</f>
        <v>16059</v>
      </c>
      <c r="P10" s="245">
        <f>P8+P9</f>
        <v>14187.00468</v>
      </c>
      <c r="Q10" s="218">
        <f>(P10-O10)/O10*100</f>
        <v>-11.656985615542686</v>
      </c>
      <c r="R10" s="218"/>
      <c r="S10" s="218"/>
      <c r="T10" s="245">
        <f>T8+T9</f>
        <v>14187.004700000001</v>
      </c>
      <c r="U10" s="245">
        <f>U8+U9</f>
        <v>14187.004700000001</v>
      </c>
      <c r="V10" s="218">
        <f>U10/P10*100</f>
        <v>100.00000014097409</v>
      </c>
      <c r="W10" s="218"/>
      <c r="X10" s="218"/>
      <c r="Y10" s="218"/>
      <c r="Z10" s="218"/>
      <c r="AA10" s="218"/>
      <c r="AB10" s="218"/>
      <c r="AC10" s="218"/>
      <c r="AD10" s="246">
        <f>T10-U10</f>
        <v>0</v>
      </c>
      <c r="AE10" s="245"/>
      <c r="AF10" s="220"/>
      <c r="AG10" s="219"/>
      <c r="AH10" s="220"/>
      <c r="AI10" s="221"/>
    </row>
    <row r="11" spans="1:35" s="233" customFormat="1" x14ac:dyDescent="0.25">
      <c r="A11" s="214"/>
      <c r="B11" s="255" t="s">
        <v>45</v>
      </c>
      <c r="C11" s="218"/>
      <c r="D11" s="218"/>
      <c r="E11" s="218"/>
      <c r="F11" s="247"/>
      <c r="G11" s="247"/>
      <c r="H11" s="247"/>
      <c r="I11" s="247"/>
      <c r="J11" s="247"/>
      <c r="K11" s="247"/>
      <c r="L11" s="247"/>
      <c r="M11" s="247"/>
      <c r="N11" s="247"/>
      <c r="O11" s="248">
        <f>SUM(O10:O10)</f>
        <v>16059</v>
      </c>
      <c r="P11" s="248">
        <f>SUM(P10:P10)</f>
        <v>14187.00468</v>
      </c>
      <c r="Q11" s="218">
        <f>(P11-O11)/O11*100</f>
        <v>-11.656985615542686</v>
      </c>
      <c r="R11" s="249"/>
      <c r="S11" s="249"/>
      <c r="T11" s="248">
        <f>SUM(T10:T10)</f>
        <v>14187.004700000001</v>
      </c>
      <c r="U11" s="248">
        <f>SUM(U10:U10)</f>
        <v>14187.004700000001</v>
      </c>
      <c r="V11" s="280">
        <f>U11/P11*100</f>
        <v>100.00000014097409</v>
      </c>
      <c r="W11" s="249"/>
      <c r="X11" s="249"/>
      <c r="Y11" s="249"/>
      <c r="Z11" s="249"/>
      <c r="AA11" s="249"/>
      <c r="AB11" s="249"/>
      <c r="AC11" s="249"/>
      <c r="AD11" s="248">
        <f>SUM(AD10:AD10)</f>
        <v>0</v>
      </c>
      <c r="AE11" s="248"/>
      <c r="AF11" s="251"/>
      <c r="AG11" s="251"/>
      <c r="AH11" s="251"/>
      <c r="AI11" s="256"/>
    </row>
    <row r="12" spans="1:35" s="199" customFormat="1" x14ac:dyDescent="0.25">
      <c r="A12" s="1"/>
      <c r="D12" s="208"/>
      <c r="E12" s="202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9"/>
      <c r="S12" s="209"/>
      <c r="T12" s="204"/>
      <c r="U12" s="204"/>
      <c r="V12" s="204"/>
      <c r="W12" s="204"/>
      <c r="X12" s="204"/>
      <c r="Y12" s="203"/>
      <c r="Z12" s="203"/>
      <c r="AA12" s="204"/>
      <c r="AB12" s="204"/>
      <c r="AC12" s="204"/>
      <c r="AD12" s="204"/>
      <c r="AE12" s="204"/>
      <c r="AF12" s="204"/>
    </row>
    <row r="13" spans="1:35" s="199" customFormat="1" x14ac:dyDescent="0.25">
      <c r="A13" s="1"/>
      <c r="D13" s="208"/>
      <c r="E13" s="202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9"/>
      <c r="S13" s="209"/>
      <c r="T13" s="204"/>
      <c r="U13" s="204"/>
      <c r="V13" s="204"/>
      <c r="W13" s="204"/>
      <c r="X13" s="204"/>
      <c r="Y13" s="203"/>
      <c r="Z13" s="203"/>
      <c r="AA13" s="204"/>
      <c r="AB13" s="204"/>
      <c r="AC13" s="204"/>
      <c r="AD13" s="204"/>
      <c r="AE13" s="204"/>
      <c r="AF13" s="204"/>
    </row>
    <row r="14" spans="1:35" s="199" customFormat="1" x14ac:dyDescent="0.25">
      <c r="A14" s="1"/>
      <c r="D14" s="208"/>
      <c r="E14" s="202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9"/>
      <c r="S14" s="209"/>
      <c r="T14" s="204"/>
      <c r="U14" s="204"/>
      <c r="V14" s="204"/>
      <c r="W14" s="204"/>
      <c r="X14" s="204"/>
      <c r="Y14" s="203"/>
      <c r="Z14" s="203"/>
      <c r="AA14" s="204"/>
      <c r="AB14" s="204"/>
      <c r="AC14" s="204"/>
      <c r="AD14" s="204"/>
      <c r="AE14" s="204"/>
      <c r="AF14" s="204"/>
    </row>
    <row r="15" spans="1:35" s="199" customFormat="1" x14ac:dyDescent="0.25">
      <c r="A15" s="1"/>
      <c r="D15" s="208"/>
      <c r="E15" s="202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9"/>
      <c r="S15" s="209"/>
      <c r="T15" s="204"/>
      <c r="U15" s="204"/>
      <c r="V15" s="204"/>
      <c r="W15" s="204"/>
      <c r="X15" s="204"/>
      <c r="Y15" s="203"/>
      <c r="Z15" s="203"/>
      <c r="AA15" s="204"/>
      <c r="AB15" s="204"/>
      <c r="AC15" s="204"/>
      <c r="AD15" s="204"/>
      <c r="AE15" s="204"/>
      <c r="AF15" s="204"/>
    </row>
    <row r="16" spans="1:35" s="199" customFormat="1" x14ac:dyDescent="0.25">
      <c r="A16" s="1"/>
      <c r="D16" s="208"/>
      <c r="E16" s="202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9"/>
      <c r="S16" s="209"/>
      <c r="T16" s="204"/>
      <c r="U16" s="204"/>
      <c r="V16" s="204"/>
      <c r="W16" s="204"/>
      <c r="X16" s="204"/>
      <c r="Y16" s="203"/>
      <c r="Z16" s="203"/>
      <c r="AA16" s="204"/>
      <c r="AB16" s="204"/>
      <c r="AC16" s="204"/>
      <c r="AD16" s="204"/>
      <c r="AE16" s="204"/>
      <c r="AF16" s="204"/>
    </row>
    <row r="17" spans="1:32" s="338" customFormat="1" ht="36" customHeight="1" x14ac:dyDescent="0.25">
      <c r="A17" s="352" t="s">
        <v>274</v>
      </c>
      <c r="B17" s="352"/>
      <c r="D17" s="339"/>
      <c r="E17" s="340"/>
      <c r="F17" s="354" t="s">
        <v>278</v>
      </c>
      <c r="G17" s="354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1"/>
      <c r="W17" s="340"/>
      <c r="X17" s="340"/>
      <c r="Y17" s="342"/>
      <c r="Z17" s="342"/>
      <c r="AA17" s="340"/>
      <c r="AB17" s="340"/>
      <c r="AC17" s="340"/>
      <c r="AD17" s="340"/>
      <c r="AE17" s="340"/>
      <c r="AF17" s="340"/>
    </row>
    <row r="18" spans="1:32" s="199" customFormat="1" x14ac:dyDescent="0.25">
      <c r="A18" s="1"/>
      <c r="D18" s="208" t="s">
        <v>277</v>
      </c>
      <c r="E18" s="204"/>
      <c r="F18" s="355" t="s">
        <v>279</v>
      </c>
      <c r="G18" s="355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9"/>
      <c r="W18" s="204"/>
      <c r="X18" s="204"/>
      <c r="Y18" s="203"/>
      <c r="Z18" s="203"/>
      <c r="AA18" s="204"/>
      <c r="AB18" s="204"/>
      <c r="AC18" s="204"/>
      <c r="AD18" s="204"/>
      <c r="AE18" s="204"/>
      <c r="AF18" s="204"/>
    </row>
    <row r="19" spans="1:32" s="199" customFormat="1" x14ac:dyDescent="0.25">
      <c r="A19" s="1"/>
      <c r="D19" s="208"/>
      <c r="E19" s="202"/>
      <c r="R19" s="210"/>
      <c r="S19" s="210"/>
      <c r="Y19" s="205"/>
      <c r="Z19" s="205"/>
    </row>
    <row r="20" spans="1:32" s="199" customFormat="1" x14ac:dyDescent="0.25">
      <c r="A20" s="353" t="s">
        <v>275</v>
      </c>
      <c r="B20" s="353"/>
      <c r="C20" s="353"/>
      <c r="D20" s="353"/>
      <c r="E20" s="353"/>
      <c r="F20" s="353"/>
      <c r="R20" s="210"/>
      <c r="S20" s="210"/>
      <c r="Y20" s="205"/>
      <c r="Z20" s="205"/>
    </row>
    <row r="21" spans="1:32" s="199" customFormat="1" x14ac:dyDescent="0.2">
      <c r="A21" s="310"/>
      <c r="B21" s="310"/>
      <c r="C21" s="310"/>
      <c r="D21" s="311"/>
      <c r="E21" s="311"/>
      <c r="F21" s="311"/>
      <c r="R21" s="210"/>
      <c r="S21" s="210"/>
      <c r="Y21" s="205"/>
      <c r="Z21" s="205"/>
    </row>
    <row r="22" spans="1:32" s="199" customFormat="1" x14ac:dyDescent="0.2">
      <c r="A22" s="353" t="s">
        <v>276</v>
      </c>
      <c r="B22" s="353"/>
      <c r="C22" s="353"/>
      <c r="D22" s="353"/>
      <c r="E22" s="353"/>
      <c r="F22" s="311"/>
      <c r="R22" s="210"/>
      <c r="S22" s="210"/>
      <c r="Y22" s="205"/>
      <c r="Z22" s="205"/>
    </row>
  </sheetData>
  <mergeCells count="37">
    <mergeCell ref="A17:B17"/>
    <mergeCell ref="A20:F20"/>
    <mergeCell ref="A22:E22"/>
    <mergeCell ref="F17:G17"/>
    <mergeCell ref="F18:G18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W5:X5"/>
    <mergeCell ref="Q5:Q6"/>
    <mergeCell ref="R5:S5"/>
    <mergeCell ref="T5:T6"/>
    <mergeCell ref="U5:U6"/>
    <mergeCell ref="V5:V6"/>
  </mergeCells>
  <printOptions horizontalCentered="1"/>
  <pageMargins left="0.196527777777778" right="0.196527777777778" top="0.94513888888888897" bottom="0.15763888888888899" header="0.31527777777777799" footer="0.51180555555555496"/>
  <pageSetup paperSize="8" scale="48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38AC8"/>
    <pageSetUpPr fitToPage="1"/>
  </sheetPr>
  <dimension ref="A1:AMK45"/>
  <sheetViews>
    <sheetView tabSelected="1" view="pageBreakPreview" zoomScale="85" zoomScaleNormal="70" zoomScalePageLayoutView="85" workbookViewId="0">
      <pane xSplit="2" ySplit="7" topLeftCell="C29" activePane="bottomRight" state="frozen"/>
      <selection pane="topRight" activeCell="C1" sqref="C1"/>
      <selection pane="bottomLeft" activeCell="A7" sqref="A7"/>
      <selection pane="bottomRight" activeCell="AF3" sqref="AF3:AI5"/>
    </sheetView>
  </sheetViews>
  <sheetFormatPr defaultRowHeight="15" x14ac:dyDescent="0.25"/>
  <cols>
    <col min="1" max="1" width="14" style="1" customWidth="1"/>
    <col min="2" max="2" width="17.85546875" style="2" customWidth="1"/>
    <col min="3" max="3" width="15.85546875" style="3" customWidth="1"/>
    <col min="4" max="4" width="9.5703125" style="4" customWidth="1"/>
    <col min="5" max="5" width="13.42578125" style="5" customWidth="1"/>
    <col min="6" max="6" width="13.7109375" style="3" customWidth="1"/>
    <col min="7" max="7" width="11.28515625" style="3" customWidth="1"/>
    <col min="8" max="8" width="15.28515625" style="3" customWidth="1"/>
    <col min="9" max="9" width="11" style="3" customWidth="1"/>
    <col min="10" max="10" width="11.85546875" style="3" customWidth="1"/>
    <col min="11" max="11" width="11.5703125" style="3" customWidth="1"/>
    <col min="12" max="12" width="12" style="3" customWidth="1"/>
    <col min="13" max="14" width="6.85546875" style="3" customWidth="1"/>
    <col min="15" max="15" width="13.5703125" style="3" customWidth="1"/>
    <col min="16" max="16" width="12.28515625" style="3" customWidth="1"/>
    <col min="17" max="17" width="14.5703125" style="3" customWidth="1"/>
    <col min="18" max="18" width="11.140625" style="6" customWidth="1"/>
    <col min="19" max="19" width="11.42578125" style="6" customWidth="1"/>
    <col min="20" max="20" width="12.28515625" style="3" customWidth="1"/>
    <col min="21" max="21" width="12.7109375" style="3" customWidth="1"/>
    <col min="22" max="22" width="11.85546875" style="3" bestFit="1" customWidth="1"/>
    <col min="23" max="24" width="7" style="3" customWidth="1"/>
    <col min="25" max="25" width="13.5703125" style="7" customWidth="1"/>
    <col min="26" max="26" width="11.140625" style="7" customWidth="1"/>
    <col min="27" max="27" width="15.28515625" style="3" customWidth="1"/>
    <col min="28" max="28" width="11.140625" style="3" customWidth="1"/>
    <col min="29" max="29" width="11.7109375" style="3" customWidth="1"/>
    <col min="30" max="30" width="13.140625" style="3" customWidth="1"/>
    <col min="31" max="31" width="10.5703125" style="3" customWidth="1"/>
    <col min="32" max="32" width="25.28515625" style="2" customWidth="1"/>
    <col min="33" max="33" width="9.85546875" style="3" customWidth="1"/>
    <col min="34" max="34" width="11.42578125" style="3" customWidth="1"/>
    <col min="35" max="35" width="12.140625" style="3" customWidth="1"/>
    <col min="36" max="1025" width="8.85546875" style="3" customWidth="1"/>
  </cols>
  <sheetData>
    <row r="1" spans="1:35" ht="32.1" customHeight="1" x14ac:dyDescent="0.25">
      <c r="A1" s="357" t="s">
        <v>51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</row>
    <row r="2" spans="1:35" s="3" customFormat="1" ht="20.25" x14ac:dyDescent="0.25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</row>
    <row r="3" spans="1:35" s="2" customFormat="1" ht="29.25" customHeight="1" x14ac:dyDescent="0.25">
      <c r="A3" s="348" t="s">
        <v>1</v>
      </c>
      <c r="B3" s="348" t="s">
        <v>2</v>
      </c>
      <c r="C3" s="348" t="s">
        <v>3</v>
      </c>
      <c r="D3" s="348" t="s">
        <v>4</v>
      </c>
      <c r="E3" s="348" t="s">
        <v>5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9" t="s">
        <v>6</v>
      </c>
      <c r="Z3" s="349"/>
      <c r="AA3" s="349"/>
      <c r="AB3" s="349"/>
      <c r="AC3" s="349"/>
      <c r="AD3" s="348" t="s">
        <v>7</v>
      </c>
      <c r="AE3" s="348" t="s">
        <v>309</v>
      </c>
      <c r="AF3" s="348" t="s">
        <v>9</v>
      </c>
      <c r="AG3" s="348"/>
      <c r="AH3" s="348"/>
      <c r="AI3" s="348"/>
    </row>
    <row r="4" spans="1:35" s="2" customFormat="1" ht="17.649999999999999" customHeight="1" x14ac:dyDescent="0.25">
      <c r="A4" s="348"/>
      <c r="B4" s="348"/>
      <c r="C4" s="348"/>
      <c r="D4" s="348"/>
      <c r="E4" s="350" t="s">
        <v>10</v>
      </c>
      <c r="F4" s="350"/>
      <c r="G4" s="350"/>
      <c r="H4" s="350"/>
      <c r="I4" s="350"/>
      <c r="J4" s="350"/>
      <c r="K4" s="350"/>
      <c r="L4" s="350"/>
      <c r="M4" s="350"/>
      <c r="N4" s="350"/>
      <c r="O4" s="351" t="s">
        <v>11</v>
      </c>
      <c r="P4" s="351"/>
      <c r="Q4" s="351"/>
      <c r="R4" s="351"/>
      <c r="S4" s="351"/>
      <c r="T4" s="351"/>
      <c r="U4" s="351"/>
      <c r="V4" s="351"/>
      <c r="W4" s="351"/>
      <c r="X4" s="351"/>
      <c r="Y4" s="346" t="s">
        <v>12</v>
      </c>
      <c r="Z4" s="346" t="s">
        <v>13</v>
      </c>
      <c r="AA4" s="346" t="s">
        <v>14</v>
      </c>
      <c r="AB4" s="346" t="s">
        <v>15</v>
      </c>
      <c r="AC4" s="346"/>
      <c r="AD4" s="348"/>
      <c r="AE4" s="348"/>
      <c r="AF4" s="348"/>
      <c r="AG4" s="348"/>
      <c r="AH4" s="348"/>
      <c r="AI4" s="348"/>
    </row>
    <row r="5" spans="1:35" s="2" customFormat="1" ht="87" customHeight="1" x14ac:dyDescent="0.25">
      <c r="A5" s="348"/>
      <c r="B5" s="348"/>
      <c r="C5" s="348"/>
      <c r="D5" s="348"/>
      <c r="E5" s="346" t="s">
        <v>16</v>
      </c>
      <c r="F5" s="346" t="s">
        <v>17</v>
      </c>
      <c r="G5" s="346" t="s">
        <v>18</v>
      </c>
      <c r="H5" s="346" t="s">
        <v>19</v>
      </c>
      <c r="I5" s="346" t="s">
        <v>20</v>
      </c>
      <c r="J5" s="346"/>
      <c r="K5" s="346" t="s">
        <v>21</v>
      </c>
      <c r="L5" s="346" t="s">
        <v>22</v>
      </c>
      <c r="M5" s="346" t="s">
        <v>23</v>
      </c>
      <c r="N5" s="346"/>
      <c r="O5" s="346" t="s">
        <v>24</v>
      </c>
      <c r="P5" s="346" t="s">
        <v>25</v>
      </c>
      <c r="Q5" s="346" t="s">
        <v>26</v>
      </c>
      <c r="R5" s="346" t="s">
        <v>305</v>
      </c>
      <c r="S5" s="346"/>
      <c r="T5" s="346" t="s">
        <v>304</v>
      </c>
      <c r="U5" s="346" t="s">
        <v>28</v>
      </c>
      <c r="V5" s="346" t="s">
        <v>29</v>
      </c>
      <c r="W5" s="346" t="s">
        <v>23</v>
      </c>
      <c r="X5" s="346"/>
      <c r="Y5" s="346"/>
      <c r="Z5" s="346"/>
      <c r="AA5" s="346"/>
      <c r="AB5" s="346"/>
      <c r="AC5" s="346"/>
      <c r="AD5" s="348"/>
      <c r="AE5" s="348"/>
      <c r="AF5" s="348"/>
      <c r="AG5" s="348"/>
      <c r="AH5" s="348"/>
      <c r="AI5" s="348"/>
    </row>
    <row r="6" spans="1:35" s="2" customFormat="1" ht="73.5" customHeight="1" x14ac:dyDescent="0.25">
      <c r="A6" s="348"/>
      <c r="B6" s="348"/>
      <c r="C6" s="348"/>
      <c r="D6" s="348"/>
      <c r="E6" s="346"/>
      <c r="F6" s="346"/>
      <c r="G6" s="346"/>
      <c r="H6" s="346"/>
      <c r="I6" s="10" t="s">
        <v>30</v>
      </c>
      <c r="J6" s="11" t="s">
        <v>31</v>
      </c>
      <c r="K6" s="346"/>
      <c r="L6" s="346"/>
      <c r="M6" s="10" t="s">
        <v>32</v>
      </c>
      <c r="N6" s="11" t="s">
        <v>33</v>
      </c>
      <c r="O6" s="346"/>
      <c r="P6" s="346"/>
      <c r="Q6" s="346"/>
      <c r="R6" s="10" t="s">
        <v>34</v>
      </c>
      <c r="S6" s="11" t="s">
        <v>31</v>
      </c>
      <c r="T6" s="346"/>
      <c r="U6" s="346"/>
      <c r="V6" s="346"/>
      <c r="W6" s="10" t="s">
        <v>32</v>
      </c>
      <c r="X6" s="11" t="s">
        <v>33</v>
      </c>
      <c r="Y6" s="346"/>
      <c r="Z6" s="346"/>
      <c r="AA6" s="346"/>
      <c r="AB6" s="12" t="s">
        <v>30</v>
      </c>
      <c r="AC6" s="12" t="s">
        <v>31</v>
      </c>
      <c r="AD6" s="348"/>
      <c r="AE6" s="348"/>
      <c r="AF6" s="12" t="s">
        <v>35</v>
      </c>
      <c r="AG6" s="12" t="s">
        <v>36</v>
      </c>
      <c r="AH6" s="12" t="s">
        <v>37</v>
      </c>
      <c r="AI6" s="12" t="s">
        <v>38</v>
      </c>
    </row>
    <row r="7" spans="1:35" s="14" customFormat="1" x14ac:dyDescent="0.25">
      <c r="A7" s="9">
        <v>1</v>
      </c>
      <c r="B7" s="9">
        <v>2</v>
      </c>
      <c r="C7" s="9">
        <v>3</v>
      </c>
      <c r="D7" s="8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9">
        <v>24</v>
      </c>
      <c r="Y7" s="9">
        <v>25</v>
      </c>
      <c r="Z7" s="9">
        <v>26</v>
      </c>
      <c r="AA7" s="9">
        <v>27</v>
      </c>
      <c r="AB7" s="9">
        <v>28</v>
      </c>
      <c r="AC7" s="9">
        <v>29</v>
      </c>
      <c r="AD7" s="9">
        <v>30</v>
      </c>
      <c r="AE7" s="9">
        <v>31</v>
      </c>
      <c r="AF7" s="9">
        <v>32</v>
      </c>
      <c r="AG7" s="9">
        <v>33</v>
      </c>
      <c r="AH7" s="9">
        <v>34</v>
      </c>
      <c r="AI7" s="13">
        <v>35</v>
      </c>
    </row>
    <row r="8" spans="1:35" s="290" customFormat="1" ht="75" customHeight="1" x14ac:dyDescent="0.25">
      <c r="A8" s="315">
        <v>775</v>
      </c>
      <c r="B8" s="316" t="s">
        <v>179</v>
      </c>
      <c r="C8" s="315" t="s">
        <v>41</v>
      </c>
      <c r="D8" s="315">
        <v>38</v>
      </c>
      <c r="E8" s="315" t="s">
        <v>170</v>
      </c>
      <c r="F8" s="315">
        <v>8946</v>
      </c>
      <c r="G8" s="315">
        <v>8639</v>
      </c>
      <c r="H8" s="238">
        <f t="shared" ref="H8" si="0">(G8-F8)/F8*100</f>
        <v>-3.4317013190252625</v>
      </c>
      <c r="I8" s="315">
        <v>0</v>
      </c>
      <c r="J8" s="315">
        <v>2</v>
      </c>
      <c r="K8" s="315">
        <v>8639</v>
      </c>
      <c r="L8" s="239">
        <f t="shared" ref="L8" si="1">K8/G8*100</f>
        <v>100</v>
      </c>
      <c r="M8" s="315">
        <v>0</v>
      </c>
      <c r="N8" s="315">
        <v>0</v>
      </c>
      <c r="O8" s="317">
        <v>806849.4</v>
      </c>
      <c r="P8" s="317">
        <v>787442.6</v>
      </c>
      <c r="Q8" s="244">
        <f t="shared" ref="Q8" si="2">(P8-O8)/O8*100</f>
        <v>-2.4052567926554875</v>
      </c>
      <c r="R8" s="315">
        <v>0</v>
      </c>
      <c r="S8" s="315">
        <v>0</v>
      </c>
      <c r="T8" s="318">
        <v>771017.8</v>
      </c>
      <c r="U8" s="318">
        <v>770843.9</v>
      </c>
      <c r="V8" s="279">
        <f t="shared" ref="V8" si="3">T8/P8*100</f>
        <v>97.914159076483813</v>
      </c>
      <c r="W8" s="315">
        <v>0</v>
      </c>
      <c r="X8" s="315">
        <v>0</v>
      </c>
      <c r="Y8" s="319">
        <f>O8/F8*1000</f>
        <v>90191.079812206575</v>
      </c>
      <c r="Z8" s="319">
        <f>P8/G8*1000</f>
        <v>91149.739553189022</v>
      </c>
      <c r="AA8" s="244">
        <f t="shared" ref="AA8:AA21" si="4">(Z8-Y8)/Y8*100</f>
        <v>1.0629207932519953</v>
      </c>
      <c r="AB8" s="315">
        <v>0</v>
      </c>
      <c r="AC8" s="315">
        <v>0</v>
      </c>
      <c r="AD8" s="320">
        <f>T8-U8</f>
        <v>173.90000000002328</v>
      </c>
      <c r="AE8" s="315">
        <v>100</v>
      </c>
      <c r="AF8" s="321" t="s">
        <v>280</v>
      </c>
      <c r="AG8" s="321">
        <v>80</v>
      </c>
      <c r="AH8" s="321">
        <v>80</v>
      </c>
      <c r="AI8" s="322">
        <v>100</v>
      </c>
    </row>
    <row r="9" spans="1:35" s="290" customFormat="1" ht="75.75" customHeight="1" x14ac:dyDescent="0.25">
      <c r="A9" s="358" t="s">
        <v>281</v>
      </c>
      <c r="B9" s="417" t="s">
        <v>174</v>
      </c>
      <c r="C9" s="420" t="s">
        <v>41</v>
      </c>
      <c r="D9" s="423">
        <v>18</v>
      </c>
      <c r="E9" s="362" t="s">
        <v>170</v>
      </c>
      <c r="F9" s="372">
        <v>6600</v>
      </c>
      <c r="G9" s="372">
        <v>6760</v>
      </c>
      <c r="H9" s="402">
        <f>(G9-F9)/F9*100</f>
        <v>2.4242424242424243</v>
      </c>
      <c r="I9" s="372">
        <v>2</v>
      </c>
      <c r="J9" s="372">
        <v>0</v>
      </c>
      <c r="K9" s="372">
        <v>6657</v>
      </c>
      <c r="L9" s="405">
        <f>K9/G9*100</f>
        <v>98.476331360946745</v>
      </c>
      <c r="M9" s="372">
        <v>0</v>
      </c>
      <c r="N9" s="372">
        <v>0</v>
      </c>
      <c r="O9" s="399">
        <v>310600</v>
      </c>
      <c r="P9" s="399">
        <v>315640</v>
      </c>
      <c r="Q9" s="394">
        <f>(P9-O9)/O9*100</f>
        <v>1.6226658081133289</v>
      </c>
      <c r="R9" s="372">
        <v>0</v>
      </c>
      <c r="S9" s="372">
        <v>0</v>
      </c>
      <c r="T9" s="399">
        <v>310630.3</v>
      </c>
      <c r="U9" s="399">
        <v>310365.59999999998</v>
      </c>
      <c r="V9" s="389">
        <f>T9/P9*100</f>
        <v>98.412843746039798</v>
      </c>
      <c r="W9" s="372">
        <v>0</v>
      </c>
      <c r="X9" s="372">
        <v>0</v>
      </c>
      <c r="Y9" s="426">
        <f>O9/F9*1000</f>
        <v>47060.606060606064</v>
      </c>
      <c r="Z9" s="426">
        <f>P9/G9*1000</f>
        <v>46692.307692307695</v>
      </c>
      <c r="AA9" s="394">
        <f t="shared" si="4"/>
        <v>-0.78260438852840708</v>
      </c>
      <c r="AB9" s="372">
        <v>0</v>
      </c>
      <c r="AC9" s="372">
        <v>0</v>
      </c>
      <c r="AD9" s="432">
        <f>T9-U9</f>
        <v>264.70000000001164</v>
      </c>
      <c r="AE9" s="378">
        <v>100</v>
      </c>
      <c r="AF9" s="230" t="s">
        <v>282</v>
      </c>
      <c r="AG9" s="230">
        <v>80</v>
      </c>
      <c r="AH9" s="230">
        <v>88</v>
      </c>
      <c r="AI9" s="323">
        <f>AH9/AG9*100</f>
        <v>110.00000000000001</v>
      </c>
    </row>
    <row r="10" spans="1:35" s="290" customFormat="1" ht="60" x14ac:dyDescent="0.25">
      <c r="A10" s="359"/>
      <c r="B10" s="418"/>
      <c r="C10" s="421"/>
      <c r="D10" s="424"/>
      <c r="E10" s="363"/>
      <c r="F10" s="373"/>
      <c r="G10" s="373"/>
      <c r="H10" s="403"/>
      <c r="I10" s="430"/>
      <c r="J10" s="430"/>
      <c r="K10" s="373"/>
      <c r="L10" s="406"/>
      <c r="M10" s="430"/>
      <c r="N10" s="430"/>
      <c r="O10" s="400"/>
      <c r="P10" s="400"/>
      <c r="Q10" s="398"/>
      <c r="R10" s="430"/>
      <c r="S10" s="430"/>
      <c r="T10" s="400"/>
      <c r="U10" s="400"/>
      <c r="V10" s="390"/>
      <c r="W10" s="430"/>
      <c r="X10" s="430"/>
      <c r="Y10" s="427"/>
      <c r="Z10" s="427"/>
      <c r="AA10" s="398"/>
      <c r="AB10" s="373"/>
      <c r="AC10" s="373"/>
      <c r="AD10" s="433"/>
      <c r="AE10" s="386"/>
      <c r="AF10" s="230" t="s">
        <v>283</v>
      </c>
      <c r="AG10" s="230">
        <v>100</v>
      </c>
      <c r="AH10" s="230">
        <v>100</v>
      </c>
      <c r="AI10" s="323">
        <f t="shared" ref="AI10:AI24" si="5">AH10/AG10*100</f>
        <v>100</v>
      </c>
    </row>
    <row r="11" spans="1:35" s="290" customFormat="1" ht="60" x14ac:dyDescent="0.25">
      <c r="A11" s="359"/>
      <c r="B11" s="418"/>
      <c r="C11" s="421"/>
      <c r="D11" s="424"/>
      <c r="E11" s="363"/>
      <c r="F11" s="373"/>
      <c r="G11" s="373"/>
      <c r="H11" s="403"/>
      <c r="I11" s="430"/>
      <c r="J11" s="430"/>
      <c r="K11" s="373"/>
      <c r="L11" s="406"/>
      <c r="M11" s="430"/>
      <c r="N11" s="430"/>
      <c r="O11" s="400"/>
      <c r="P11" s="400"/>
      <c r="Q11" s="398"/>
      <c r="R11" s="430"/>
      <c r="S11" s="430"/>
      <c r="T11" s="400"/>
      <c r="U11" s="400"/>
      <c r="V11" s="390"/>
      <c r="W11" s="430"/>
      <c r="X11" s="430"/>
      <c r="Y11" s="427"/>
      <c r="Z11" s="427"/>
      <c r="AA11" s="398"/>
      <c r="AB11" s="373"/>
      <c r="AC11" s="373"/>
      <c r="AD11" s="433"/>
      <c r="AE11" s="386"/>
      <c r="AF11" s="230" t="s">
        <v>284</v>
      </c>
      <c r="AG11" s="230">
        <v>100</v>
      </c>
      <c r="AH11" s="230">
        <v>100</v>
      </c>
      <c r="AI11" s="323">
        <f t="shared" si="5"/>
        <v>100</v>
      </c>
    </row>
    <row r="12" spans="1:35" s="290" customFormat="1" ht="105" x14ac:dyDescent="0.25">
      <c r="A12" s="388"/>
      <c r="B12" s="419"/>
      <c r="C12" s="422"/>
      <c r="D12" s="425"/>
      <c r="E12" s="388"/>
      <c r="F12" s="374"/>
      <c r="G12" s="374"/>
      <c r="H12" s="404"/>
      <c r="I12" s="431"/>
      <c r="J12" s="431"/>
      <c r="K12" s="374"/>
      <c r="L12" s="407"/>
      <c r="M12" s="431"/>
      <c r="N12" s="431"/>
      <c r="O12" s="401"/>
      <c r="P12" s="401"/>
      <c r="Q12" s="395"/>
      <c r="R12" s="431"/>
      <c r="S12" s="431"/>
      <c r="T12" s="401"/>
      <c r="U12" s="401"/>
      <c r="V12" s="391"/>
      <c r="W12" s="431"/>
      <c r="X12" s="431"/>
      <c r="Y12" s="428"/>
      <c r="Z12" s="428"/>
      <c r="AA12" s="395"/>
      <c r="AB12" s="374"/>
      <c r="AC12" s="374"/>
      <c r="AD12" s="434"/>
      <c r="AE12" s="379"/>
      <c r="AF12" s="230" t="s">
        <v>285</v>
      </c>
      <c r="AG12" s="230">
        <v>80</v>
      </c>
      <c r="AH12" s="230">
        <v>91</v>
      </c>
      <c r="AI12" s="323">
        <f t="shared" si="5"/>
        <v>113.75</v>
      </c>
    </row>
    <row r="13" spans="1:35" s="290" customFormat="1" ht="105" x14ac:dyDescent="0.25">
      <c r="A13" s="358" t="s">
        <v>281</v>
      </c>
      <c r="B13" s="417" t="s">
        <v>176</v>
      </c>
      <c r="C13" s="420" t="s">
        <v>41</v>
      </c>
      <c r="D13" s="423">
        <v>18</v>
      </c>
      <c r="E13" s="362" t="s">
        <v>170</v>
      </c>
      <c r="F13" s="372">
        <v>6702</v>
      </c>
      <c r="G13" s="372">
        <v>6917</v>
      </c>
      <c r="H13" s="402">
        <f t="shared" ref="H13:H17" si="6">(G13-F13)/F13*100</f>
        <v>3.2079976126529393</v>
      </c>
      <c r="I13" s="372">
        <v>2</v>
      </c>
      <c r="J13" s="372">
        <v>0</v>
      </c>
      <c r="K13" s="372">
        <v>6785</v>
      </c>
      <c r="L13" s="405">
        <f t="shared" ref="L13" si="7">K13/G13*100</f>
        <v>98.091658233338151</v>
      </c>
      <c r="M13" s="372">
        <v>0</v>
      </c>
      <c r="N13" s="372">
        <v>0</v>
      </c>
      <c r="O13" s="399">
        <v>320500.59999999998</v>
      </c>
      <c r="P13" s="399">
        <v>329574.3</v>
      </c>
      <c r="Q13" s="394">
        <f t="shared" ref="Q13:Q21" si="8">(P13-O13)/O13*100</f>
        <v>2.8311023442701861</v>
      </c>
      <c r="R13" s="372">
        <v>0</v>
      </c>
      <c r="S13" s="372">
        <v>0</v>
      </c>
      <c r="T13" s="399">
        <v>324780.2</v>
      </c>
      <c r="U13" s="399">
        <v>324503.40000000002</v>
      </c>
      <c r="V13" s="389">
        <f t="shared" ref="V13:V21" si="9">T13/P13*100</f>
        <v>98.545365946313183</v>
      </c>
      <c r="W13" s="372">
        <v>0</v>
      </c>
      <c r="X13" s="372">
        <v>0</v>
      </c>
      <c r="Y13" s="426">
        <f>O13/F13*1000</f>
        <v>47821.635332736492</v>
      </c>
      <c r="Z13" s="426">
        <f>P13/G13*1000</f>
        <v>47647.000144571342</v>
      </c>
      <c r="AA13" s="394">
        <f t="shared" si="4"/>
        <v>-0.36518029329206703</v>
      </c>
      <c r="AB13" s="372">
        <v>0</v>
      </c>
      <c r="AC13" s="372">
        <v>0</v>
      </c>
      <c r="AD13" s="432">
        <f t="shared" ref="AD13" si="10">T13-U13</f>
        <v>276.79999999998836</v>
      </c>
      <c r="AE13" s="378">
        <v>100</v>
      </c>
      <c r="AF13" s="230" t="s">
        <v>282</v>
      </c>
      <c r="AG13" s="230">
        <v>80</v>
      </c>
      <c r="AH13" s="230">
        <v>90</v>
      </c>
      <c r="AI13" s="323">
        <f t="shared" si="5"/>
        <v>112.5</v>
      </c>
    </row>
    <row r="14" spans="1:35" s="290" customFormat="1" ht="60" x14ac:dyDescent="0.25">
      <c r="A14" s="359"/>
      <c r="B14" s="418"/>
      <c r="C14" s="421"/>
      <c r="D14" s="424"/>
      <c r="E14" s="363"/>
      <c r="F14" s="373"/>
      <c r="G14" s="373"/>
      <c r="H14" s="403"/>
      <c r="I14" s="430"/>
      <c r="J14" s="430"/>
      <c r="K14" s="373"/>
      <c r="L14" s="406"/>
      <c r="M14" s="430"/>
      <c r="N14" s="430"/>
      <c r="O14" s="400"/>
      <c r="P14" s="400"/>
      <c r="Q14" s="398"/>
      <c r="R14" s="430"/>
      <c r="S14" s="430"/>
      <c r="T14" s="400"/>
      <c r="U14" s="400"/>
      <c r="V14" s="390"/>
      <c r="W14" s="430"/>
      <c r="X14" s="430"/>
      <c r="Y14" s="427"/>
      <c r="Z14" s="427"/>
      <c r="AA14" s="398"/>
      <c r="AB14" s="373"/>
      <c r="AC14" s="373"/>
      <c r="AD14" s="433"/>
      <c r="AE14" s="386"/>
      <c r="AF14" s="230" t="s">
        <v>283</v>
      </c>
      <c r="AG14" s="230">
        <v>100</v>
      </c>
      <c r="AH14" s="230">
        <v>99</v>
      </c>
      <c r="AI14" s="323">
        <f t="shared" si="5"/>
        <v>99</v>
      </c>
    </row>
    <row r="15" spans="1:35" s="290" customFormat="1" ht="60" x14ac:dyDescent="0.25">
      <c r="A15" s="359"/>
      <c r="B15" s="418"/>
      <c r="C15" s="421"/>
      <c r="D15" s="424"/>
      <c r="E15" s="363"/>
      <c r="F15" s="373"/>
      <c r="G15" s="373"/>
      <c r="H15" s="403"/>
      <c r="I15" s="430"/>
      <c r="J15" s="430"/>
      <c r="K15" s="373"/>
      <c r="L15" s="406"/>
      <c r="M15" s="430"/>
      <c r="N15" s="430"/>
      <c r="O15" s="400"/>
      <c r="P15" s="400"/>
      <c r="Q15" s="398"/>
      <c r="R15" s="430"/>
      <c r="S15" s="430"/>
      <c r="T15" s="400"/>
      <c r="U15" s="400"/>
      <c r="V15" s="390"/>
      <c r="W15" s="430"/>
      <c r="X15" s="430"/>
      <c r="Y15" s="427"/>
      <c r="Z15" s="427"/>
      <c r="AA15" s="398"/>
      <c r="AB15" s="373"/>
      <c r="AC15" s="373"/>
      <c r="AD15" s="433"/>
      <c r="AE15" s="386"/>
      <c r="AF15" s="230" t="s">
        <v>286</v>
      </c>
      <c r="AG15" s="230">
        <v>100</v>
      </c>
      <c r="AH15" s="230">
        <v>100</v>
      </c>
      <c r="AI15" s="323">
        <f t="shared" si="5"/>
        <v>100</v>
      </c>
    </row>
    <row r="16" spans="1:35" s="290" customFormat="1" ht="90.75" customHeight="1" x14ac:dyDescent="0.25">
      <c r="A16" s="388"/>
      <c r="B16" s="419"/>
      <c r="C16" s="422"/>
      <c r="D16" s="425"/>
      <c r="E16" s="388"/>
      <c r="F16" s="374"/>
      <c r="G16" s="374"/>
      <c r="H16" s="404"/>
      <c r="I16" s="431"/>
      <c r="J16" s="431"/>
      <c r="K16" s="374"/>
      <c r="L16" s="407"/>
      <c r="M16" s="431"/>
      <c r="N16" s="431"/>
      <c r="O16" s="401"/>
      <c r="P16" s="401"/>
      <c r="Q16" s="395"/>
      <c r="R16" s="431"/>
      <c r="S16" s="431"/>
      <c r="T16" s="401"/>
      <c r="U16" s="401"/>
      <c r="V16" s="391"/>
      <c r="W16" s="431"/>
      <c r="X16" s="431"/>
      <c r="Y16" s="428"/>
      <c r="Z16" s="428"/>
      <c r="AA16" s="395"/>
      <c r="AB16" s="374"/>
      <c r="AC16" s="374"/>
      <c r="AD16" s="434"/>
      <c r="AE16" s="379"/>
      <c r="AF16" s="230" t="s">
        <v>285</v>
      </c>
      <c r="AG16" s="230">
        <v>80</v>
      </c>
      <c r="AH16" s="230">
        <v>91</v>
      </c>
      <c r="AI16" s="323">
        <f t="shared" si="5"/>
        <v>113.75</v>
      </c>
    </row>
    <row r="17" spans="1:35" s="290" customFormat="1" ht="76.5" customHeight="1" x14ac:dyDescent="0.25">
      <c r="A17" s="358" t="s">
        <v>281</v>
      </c>
      <c r="B17" s="417" t="s">
        <v>177</v>
      </c>
      <c r="C17" s="420" t="s">
        <v>41</v>
      </c>
      <c r="D17" s="423">
        <v>16</v>
      </c>
      <c r="E17" s="362" t="s">
        <v>170</v>
      </c>
      <c r="F17" s="372">
        <v>1176</v>
      </c>
      <c r="G17" s="372">
        <v>1052</v>
      </c>
      <c r="H17" s="402">
        <f t="shared" si="6"/>
        <v>-10.544217687074831</v>
      </c>
      <c r="I17" s="372">
        <v>1</v>
      </c>
      <c r="J17" s="372">
        <v>5</v>
      </c>
      <c r="K17" s="372">
        <v>1121</v>
      </c>
      <c r="L17" s="405">
        <f>K17/G17*100</f>
        <v>106.55893536121673</v>
      </c>
      <c r="M17" s="372">
        <v>0</v>
      </c>
      <c r="N17" s="372">
        <v>0</v>
      </c>
      <c r="O17" s="399">
        <v>54803</v>
      </c>
      <c r="P17" s="399">
        <v>48526.5</v>
      </c>
      <c r="Q17" s="394">
        <f>(P17-O17)/O17*100</f>
        <v>-11.452840172983231</v>
      </c>
      <c r="R17" s="372">
        <v>1</v>
      </c>
      <c r="S17" s="372">
        <v>5</v>
      </c>
      <c r="T17" s="399">
        <v>45566.400000000001</v>
      </c>
      <c r="U17" s="399">
        <v>45527.6</v>
      </c>
      <c r="V17" s="389">
        <f t="shared" si="9"/>
        <v>93.900034002040115</v>
      </c>
      <c r="W17" s="372">
        <v>0</v>
      </c>
      <c r="X17" s="372">
        <v>0</v>
      </c>
      <c r="Y17" s="426">
        <f>O17/F17*1000</f>
        <v>46601.190476190473</v>
      </c>
      <c r="Z17" s="426">
        <f>P17/G17*1000</f>
        <v>46127.851711026618</v>
      </c>
      <c r="AA17" s="394">
        <f>(Z17-Y17)/Y17*100</f>
        <v>-1.0157224747416993</v>
      </c>
      <c r="AB17" s="372">
        <v>0</v>
      </c>
      <c r="AC17" s="372">
        <v>0</v>
      </c>
      <c r="AD17" s="432">
        <f t="shared" ref="AD17" si="11">T17-U17</f>
        <v>38.80000000000291</v>
      </c>
      <c r="AE17" s="378">
        <v>100</v>
      </c>
      <c r="AF17" s="230" t="s">
        <v>282</v>
      </c>
      <c r="AG17" s="230">
        <v>80</v>
      </c>
      <c r="AH17" s="230">
        <v>98</v>
      </c>
      <c r="AI17" s="323">
        <f t="shared" si="5"/>
        <v>122.50000000000001</v>
      </c>
    </row>
    <row r="18" spans="1:35" s="290" customFormat="1" ht="60" x14ac:dyDescent="0.25">
      <c r="A18" s="359"/>
      <c r="B18" s="418"/>
      <c r="C18" s="421"/>
      <c r="D18" s="424"/>
      <c r="E18" s="363"/>
      <c r="F18" s="373"/>
      <c r="G18" s="373"/>
      <c r="H18" s="403"/>
      <c r="I18" s="430"/>
      <c r="J18" s="430"/>
      <c r="K18" s="373"/>
      <c r="L18" s="406"/>
      <c r="M18" s="430"/>
      <c r="N18" s="430"/>
      <c r="O18" s="400"/>
      <c r="P18" s="400"/>
      <c r="Q18" s="398"/>
      <c r="R18" s="430"/>
      <c r="S18" s="430"/>
      <c r="T18" s="400"/>
      <c r="U18" s="400"/>
      <c r="V18" s="390"/>
      <c r="W18" s="430"/>
      <c r="X18" s="430"/>
      <c r="Y18" s="427"/>
      <c r="Z18" s="427"/>
      <c r="AA18" s="398"/>
      <c r="AB18" s="373"/>
      <c r="AC18" s="373"/>
      <c r="AD18" s="433"/>
      <c r="AE18" s="386"/>
      <c r="AF18" s="230" t="s">
        <v>283</v>
      </c>
      <c r="AG18" s="230">
        <v>100</v>
      </c>
      <c r="AH18" s="230">
        <v>99</v>
      </c>
      <c r="AI18" s="323">
        <f t="shared" si="5"/>
        <v>99</v>
      </c>
    </row>
    <row r="19" spans="1:35" s="290" customFormat="1" ht="60" x14ac:dyDescent="0.25">
      <c r="A19" s="359"/>
      <c r="B19" s="418"/>
      <c r="C19" s="421"/>
      <c r="D19" s="424"/>
      <c r="E19" s="363"/>
      <c r="F19" s="373"/>
      <c r="G19" s="373"/>
      <c r="H19" s="403"/>
      <c r="I19" s="430"/>
      <c r="J19" s="430"/>
      <c r="K19" s="373"/>
      <c r="L19" s="406"/>
      <c r="M19" s="430"/>
      <c r="N19" s="430"/>
      <c r="O19" s="400"/>
      <c r="P19" s="400"/>
      <c r="Q19" s="398"/>
      <c r="R19" s="430"/>
      <c r="S19" s="430"/>
      <c r="T19" s="400"/>
      <c r="U19" s="400"/>
      <c r="V19" s="390"/>
      <c r="W19" s="430"/>
      <c r="X19" s="430"/>
      <c r="Y19" s="427"/>
      <c r="Z19" s="427"/>
      <c r="AA19" s="398"/>
      <c r="AB19" s="373"/>
      <c r="AC19" s="373"/>
      <c r="AD19" s="433"/>
      <c r="AE19" s="386"/>
      <c r="AF19" s="230" t="s">
        <v>287</v>
      </c>
      <c r="AG19" s="230">
        <v>100</v>
      </c>
      <c r="AH19" s="230">
        <v>100</v>
      </c>
      <c r="AI19" s="323">
        <f t="shared" si="5"/>
        <v>100</v>
      </c>
    </row>
    <row r="20" spans="1:35" s="290" customFormat="1" ht="93" customHeight="1" x14ac:dyDescent="0.25">
      <c r="A20" s="388"/>
      <c r="B20" s="419"/>
      <c r="C20" s="422"/>
      <c r="D20" s="425"/>
      <c r="E20" s="388"/>
      <c r="F20" s="374"/>
      <c r="G20" s="374"/>
      <c r="H20" s="404"/>
      <c r="I20" s="431"/>
      <c r="J20" s="431"/>
      <c r="K20" s="374"/>
      <c r="L20" s="407"/>
      <c r="M20" s="431"/>
      <c r="N20" s="431"/>
      <c r="O20" s="401"/>
      <c r="P20" s="401"/>
      <c r="Q20" s="395"/>
      <c r="R20" s="431"/>
      <c r="S20" s="431"/>
      <c r="T20" s="401"/>
      <c r="U20" s="401"/>
      <c r="V20" s="391"/>
      <c r="W20" s="431"/>
      <c r="X20" s="431"/>
      <c r="Y20" s="428"/>
      <c r="Z20" s="428"/>
      <c r="AA20" s="395"/>
      <c r="AB20" s="374"/>
      <c r="AC20" s="374"/>
      <c r="AD20" s="434"/>
      <c r="AE20" s="379"/>
      <c r="AF20" s="230" t="s">
        <v>285</v>
      </c>
      <c r="AG20" s="230">
        <v>80</v>
      </c>
      <c r="AH20" s="230">
        <v>86</v>
      </c>
      <c r="AI20" s="323">
        <f t="shared" si="5"/>
        <v>107.5</v>
      </c>
    </row>
    <row r="21" spans="1:35" s="290" customFormat="1" ht="90" x14ac:dyDescent="0.25">
      <c r="A21" s="358" t="s">
        <v>281</v>
      </c>
      <c r="B21" s="417" t="s">
        <v>288</v>
      </c>
      <c r="C21" s="420" t="s">
        <v>41</v>
      </c>
      <c r="D21" s="423">
        <v>7</v>
      </c>
      <c r="E21" s="362" t="s">
        <v>170</v>
      </c>
      <c r="F21" s="372">
        <v>20654</v>
      </c>
      <c r="G21" s="372">
        <v>18514</v>
      </c>
      <c r="H21" s="402">
        <f>(G21-F21)/F21*100</f>
        <v>-10.361189115909751</v>
      </c>
      <c r="I21" s="372">
        <v>0</v>
      </c>
      <c r="J21" s="372">
        <v>4</v>
      </c>
      <c r="K21" s="372">
        <v>14235</v>
      </c>
      <c r="L21" s="405">
        <f>K21/G21*100</f>
        <v>76.88776061358972</v>
      </c>
      <c r="M21" s="372">
        <v>0</v>
      </c>
      <c r="N21" s="372">
        <v>0</v>
      </c>
      <c r="O21" s="399">
        <v>151302.20000000001</v>
      </c>
      <c r="P21" s="399">
        <v>127503.1</v>
      </c>
      <c r="Q21" s="394">
        <f t="shared" si="8"/>
        <v>-15.729513516657395</v>
      </c>
      <c r="R21" s="372">
        <v>0</v>
      </c>
      <c r="S21" s="372">
        <v>0</v>
      </c>
      <c r="T21" s="399">
        <v>121962.6</v>
      </c>
      <c r="U21" s="399">
        <v>121831.1</v>
      </c>
      <c r="V21" s="389">
        <f t="shared" si="9"/>
        <v>95.654615456408507</v>
      </c>
      <c r="W21" s="372">
        <v>0</v>
      </c>
      <c r="X21" s="372">
        <v>0</v>
      </c>
      <c r="Y21" s="426">
        <f>O21/F21*1000</f>
        <v>7325.564055388787</v>
      </c>
      <c r="Z21" s="426">
        <f>P21/G21*100</f>
        <v>688.68477908609702</v>
      </c>
      <c r="AA21" s="394">
        <f t="shared" si="4"/>
        <v>-90.598883937415167</v>
      </c>
      <c r="AB21" s="372">
        <v>0</v>
      </c>
      <c r="AC21" s="372">
        <v>0</v>
      </c>
      <c r="AD21" s="432">
        <f>T21-U21</f>
        <v>131.5</v>
      </c>
      <c r="AE21" s="378">
        <v>100</v>
      </c>
      <c r="AF21" s="230" t="s">
        <v>289</v>
      </c>
      <c r="AG21" s="230">
        <v>100</v>
      </c>
      <c r="AH21" s="230">
        <v>100</v>
      </c>
      <c r="AI21" s="323">
        <f t="shared" si="5"/>
        <v>100</v>
      </c>
    </row>
    <row r="22" spans="1:35" s="290" customFormat="1" ht="90" x14ac:dyDescent="0.25">
      <c r="A22" s="430"/>
      <c r="B22" s="418"/>
      <c r="C22" s="436"/>
      <c r="D22" s="424"/>
      <c r="E22" s="363"/>
      <c r="F22" s="430"/>
      <c r="G22" s="430"/>
      <c r="H22" s="403"/>
      <c r="I22" s="430"/>
      <c r="J22" s="430"/>
      <c r="K22" s="430"/>
      <c r="L22" s="406"/>
      <c r="M22" s="430"/>
      <c r="N22" s="430"/>
      <c r="O22" s="400"/>
      <c r="P22" s="400"/>
      <c r="Q22" s="398"/>
      <c r="R22" s="430"/>
      <c r="S22" s="430"/>
      <c r="T22" s="400"/>
      <c r="U22" s="400"/>
      <c r="V22" s="390"/>
      <c r="W22" s="430"/>
      <c r="X22" s="430"/>
      <c r="Y22" s="427"/>
      <c r="Z22" s="427"/>
      <c r="AA22" s="398"/>
      <c r="AB22" s="430"/>
      <c r="AC22" s="430"/>
      <c r="AD22" s="433"/>
      <c r="AE22" s="386"/>
      <c r="AF22" s="301" t="s">
        <v>290</v>
      </c>
      <c r="AG22" s="301">
        <v>51</v>
      </c>
      <c r="AH22" s="301">
        <v>51</v>
      </c>
      <c r="AI22" s="324">
        <f t="shared" si="5"/>
        <v>100</v>
      </c>
    </row>
    <row r="23" spans="1:35" s="290" customFormat="1" ht="105" x14ac:dyDescent="0.25">
      <c r="A23" s="431"/>
      <c r="B23" s="419"/>
      <c r="C23" s="437"/>
      <c r="D23" s="425"/>
      <c r="E23" s="388"/>
      <c r="F23" s="431"/>
      <c r="G23" s="431"/>
      <c r="H23" s="404"/>
      <c r="I23" s="431"/>
      <c r="J23" s="431"/>
      <c r="K23" s="431"/>
      <c r="L23" s="407"/>
      <c r="M23" s="431"/>
      <c r="N23" s="431"/>
      <c r="O23" s="401"/>
      <c r="P23" s="401"/>
      <c r="Q23" s="395"/>
      <c r="R23" s="431"/>
      <c r="S23" s="431"/>
      <c r="T23" s="401"/>
      <c r="U23" s="401"/>
      <c r="V23" s="391"/>
      <c r="W23" s="431"/>
      <c r="X23" s="431"/>
      <c r="Y23" s="428"/>
      <c r="Z23" s="428"/>
      <c r="AA23" s="395"/>
      <c r="AB23" s="431"/>
      <c r="AC23" s="431"/>
      <c r="AD23" s="434"/>
      <c r="AE23" s="379"/>
      <c r="AF23" s="301" t="s">
        <v>291</v>
      </c>
      <c r="AG23" s="301">
        <v>87</v>
      </c>
      <c r="AH23" s="301">
        <v>87</v>
      </c>
      <c r="AI23" s="324">
        <f t="shared" si="5"/>
        <v>100</v>
      </c>
    </row>
    <row r="24" spans="1:35" s="290" customFormat="1" ht="90" x14ac:dyDescent="0.25">
      <c r="A24" s="325">
        <v>775</v>
      </c>
      <c r="B24" s="314" t="s">
        <v>292</v>
      </c>
      <c r="C24" s="326" t="s">
        <v>41</v>
      </c>
      <c r="D24" s="309">
        <v>1</v>
      </c>
      <c r="E24" s="303" t="s">
        <v>294</v>
      </c>
      <c r="F24" s="325">
        <v>111</v>
      </c>
      <c r="G24" s="325">
        <v>121</v>
      </c>
      <c r="H24" s="307">
        <f>(F24-G24)/F24*100</f>
        <v>-9.0090090090090094</v>
      </c>
      <c r="I24" s="325">
        <v>0</v>
      </c>
      <c r="J24" s="325">
        <v>0</v>
      </c>
      <c r="K24" s="325">
        <v>113</v>
      </c>
      <c r="L24" s="308">
        <f>K24/G24*100</f>
        <v>93.388429752066116</v>
      </c>
      <c r="M24" s="325">
        <v>0</v>
      </c>
      <c r="N24" s="325">
        <v>0</v>
      </c>
      <c r="O24" s="306">
        <v>505</v>
      </c>
      <c r="P24" s="306">
        <v>628</v>
      </c>
      <c r="Q24" s="305">
        <f>(P24-O24)/O24*100</f>
        <v>24.356435643564357</v>
      </c>
      <c r="R24" s="325">
        <v>1</v>
      </c>
      <c r="S24" s="325">
        <v>0</v>
      </c>
      <c r="T24" s="306">
        <v>353.3</v>
      </c>
      <c r="U24" s="306">
        <v>353.3</v>
      </c>
      <c r="V24" s="304">
        <f>T24/P24*100</f>
        <v>56.257961783439491</v>
      </c>
      <c r="W24" s="325">
        <v>0</v>
      </c>
      <c r="X24" s="325">
        <v>1</v>
      </c>
      <c r="Y24" s="327">
        <f>O24/F24*1000</f>
        <v>4549.5495495495497</v>
      </c>
      <c r="Z24" s="327">
        <f>P24/G24*1000</f>
        <v>5190.0826446280989</v>
      </c>
      <c r="AA24" s="305">
        <f>(Z24-Y24)/Z24*100</f>
        <v>12.341481608997524</v>
      </c>
      <c r="AB24" s="325">
        <v>1</v>
      </c>
      <c r="AC24" s="325">
        <v>0</v>
      </c>
      <c r="AD24" s="328">
        <f>T24-U24</f>
        <v>0</v>
      </c>
      <c r="AE24" s="302">
        <v>100</v>
      </c>
      <c r="AF24" s="301" t="s">
        <v>306</v>
      </c>
      <c r="AG24" s="301">
        <v>100</v>
      </c>
      <c r="AH24" s="301">
        <v>100</v>
      </c>
      <c r="AI24" s="324">
        <f t="shared" si="5"/>
        <v>100</v>
      </c>
    </row>
    <row r="25" spans="1:35" s="290" customFormat="1" ht="30" customHeight="1" x14ac:dyDescent="0.25">
      <c r="A25" s="429">
        <v>775</v>
      </c>
      <c r="B25" s="417" t="s">
        <v>293</v>
      </c>
      <c r="C25" s="435" t="s">
        <v>41</v>
      </c>
      <c r="D25" s="423">
        <v>1</v>
      </c>
      <c r="E25" s="362" t="s">
        <v>294</v>
      </c>
      <c r="F25" s="429">
        <v>606</v>
      </c>
      <c r="G25" s="429">
        <v>606</v>
      </c>
      <c r="H25" s="402">
        <f>(F25-G25)/F25*100</f>
        <v>0</v>
      </c>
      <c r="I25" s="429">
        <v>0</v>
      </c>
      <c r="J25" s="429">
        <v>0</v>
      </c>
      <c r="K25" s="429">
        <v>606</v>
      </c>
      <c r="L25" s="405">
        <f>K25/G25*100</f>
        <v>100</v>
      </c>
      <c r="M25" s="429">
        <v>0</v>
      </c>
      <c r="N25" s="429">
        <v>0</v>
      </c>
      <c r="O25" s="399">
        <v>2341</v>
      </c>
      <c r="P25" s="399">
        <v>3951</v>
      </c>
      <c r="Q25" s="394">
        <f>(P25-O25)/O25*100</f>
        <v>68.774028193079886</v>
      </c>
      <c r="R25" s="429">
        <v>0</v>
      </c>
      <c r="S25" s="429">
        <v>0</v>
      </c>
      <c r="T25" s="399">
        <v>3321.1</v>
      </c>
      <c r="U25" s="399">
        <v>3255.3</v>
      </c>
      <c r="V25" s="389">
        <f>T25/P25*100</f>
        <v>84.05720070868135</v>
      </c>
      <c r="W25" s="429">
        <v>0</v>
      </c>
      <c r="X25" s="429">
        <v>0</v>
      </c>
      <c r="Y25" s="426">
        <f>O25/F25*1000</f>
        <v>3863.0363036303634</v>
      </c>
      <c r="Z25" s="426">
        <f>P25/G25*1000</f>
        <v>6519.8019801980199</v>
      </c>
      <c r="AA25" s="394">
        <f>(Z25-Y25)/Z25*100</f>
        <v>40.749177423437096</v>
      </c>
      <c r="AB25" s="429">
        <v>0</v>
      </c>
      <c r="AC25" s="429">
        <v>0</v>
      </c>
      <c r="AD25" s="432">
        <f>T25-U25</f>
        <v>65.799999999999727</v>
      </c>
      <c r="AE25" s="378">
        <v>100</v>
      </c>
      <c r="AF25" s="301" t="s">
        <v>295</v>
      </c>
      <c r="AG25" s="301">
        <v>100</v>
      </c>
      <c r="AH25" s="301">
        <v>100</v>
      </c>
      <c r="AI25" s="328">
        <v>100</v>
      </c>
    </row>
    <row r="26" spans="1:35" s="290" customFormat="1" ht="91.5" customHeight="1" x14ac:dyDescent="0.25">
      <c r="A26" s="431"/>
      <c r="B26" s="442"/>
      <c r="C26" s="437"/>
      <c r="D26" s="437"/>
      <c r="E26" s="431"/>
      <c r="F26" s="431"/>
      <c r="G26" s="431"/>
      <c r="H26" s="431"/>
      <c r="I26" s="431"/>
      <c r="J26" s="431"/>
      <c r="K26" s="431"/>
      <c r="L26" s="443"/>
      <c r="M26" s="431"/>
      <c r="N26" s="431"/>
      <c r="O26" s="441"/>
      <c r="P26" s="441"/>
      <c r="Q26" s="439"/>
      <c r="R26" s="431"/>
      <c r="S26" s="431"/>
      <c r="T26" s="441"/>
      <c r="U26" s="441"/>
      <c r="V26" s="439"/>
      <c r="W26" s="431"/>
      <c r="X26" s="431"/>
      <c r="Y26" s="438"/>
      <c r="Z26" s="438"/>
      <c r="AA26" s="439"/>
      <c r="AB26" s="431"/>
      <c r="AC26" s="431"/>
      <c r="AD26" s="440"/>
      <c r="AE26" s="431"/>
      <c r="AF26" s="301" t="s">
        <v>291</v>
      </c>
      <c r="AG26" s="301">
        <v>100</v>
      </c>
      <c r="AH26" s="301">
        <v>100</v>
      </c>
      <c r="AI26" s="328">
        <v>100</v>
      </c>
    </row>
    <row r="27" spans="1:35" s="290" customFormat="1" ht="30" x14ac:dyDescent="0.25">
      <c r="A27" s="429">
        <v>775</v>
      </c>
      <c r="B27" s="417" t="s">
        <v>296</v>
      </c>
      <c r="C27" s="435" t="s">
        <v>41</v>
      </c>
      <c r="D27" s="423">
        <v>3</v>
      </c>
      <c r="E27" s="362" t="s">
        <v>170</v>
      </c>
      <c r="F27" s="429">
        <v>500</v>
      </c>
      <c r="G27" s="429">
        <v>500</v>
      </c>
      <c r="H27" s="402">
        <f>(F27-G27)/F27*100</f>
        <v>0</v>
      </c>
      <c r="I27" s="429">
        <v>0</v>
      </c>
      <c r="J27" s="429">
        <v>0</v>
      </c>
      <c r="K27" s="429">
        <v>500</v>
      </c>
      <c r="L27" s="405">
        <f>K27/G27*100</f>
        <v>100</v>
      </c>
      <c r="M27" s="429">
        <v>0</v>
      </c>
      <c r="N27" s="429">
        <v>0</v>
      </c>
      <c r="O27" s="399">
        <v>19789</v>
      </c>
      <c r="P27" s="399">
        <v>20712.099999999999</v>
      </c>
      <c r="Q27" s="394">
        <f>(P27-O27)/O27*100</f>
        <v>4.6647127191874205</v>
      </c>
      <c r="R27" s="429">
        <v>0</v>
      </c>
      <c r="S27" s="429">
        <v>0</v>
      </c>
      <c r="T27" s="399">
        <v>20081.400000000001</v>
      </c>
      <c r="U27" s="399">
        <v>19881.099999999999</v>
      </c>
      <c r="V27" s="389">
        <f>T27/P27*100</f>
        <v>96.954920070876454</v>
      </c>
      <c r="W27" s="429">
        <v>0</v>
      </c>
      <c r="X27" s="429">
        <v>0</v>
      </c>
      <c r="Y27" s="426">
        <f>O27/F27*1000</f>
        <v>39578</v>
      </c>
      <c r="Z27" s="426">
        <f>P27/G27*1000</f>
        <v>41424.199999999997</v>
      </c>
      <c r="AA27" s="394">
        <f>(Z27-Y27)/Z27*100</f>
        <v>4.4568150984207229</v>
      </c>
      <c r="AB27" s="429">
        <v>0</v>
      </c>
      <c r="AC27" s="429">
        <v>0</v>
      </c>
      <c r="AD27" s="432">
        <f>T27-U27</f>
        <v>200.30000000000291</v>
      </c>
      <c r="AE27" s="378">
        <v>100</v>
      </c>
      <c r="AF27" s="301" t="s">
        <v>297</v>
      </c>
      <c r="AG27" s="301">
        <v>100</v>
      </c>
      <c r="AH27" s="301">
        <v>100</v>
      </c>
      <c r="AI27" s="328">
        <v>100</v>
      </c>
    </row>
    <row r="28" spans="1:35" s="290" customFormat="1" ht="45" x14ac:dyDescent="0.25">
      <c r="A28" s="430"/>
      <c r="B28" s="418"/>
      <c r="C28" s="436"/>
      <c r="D28" s="424"/>
      <c r="E28" s="363"/>
      <c r="F28" s="430"/>
      <c r="G28" s="430"/>
      <c r="H28" s="403"/>
      <c r="I28" s="430"/>
      <c r="J28" s="430"/>
      <c r="K28" s="430"/>
      <c r="L28" s="406"/>
      <c r="M28" s="430"/>
      <c r="N28" s="430"/>
      <c r="O28" s="400"/>
      <c r="P28" s="400"/>
      <c r="Q28" s="398"/>
      <c r="R28" s="430"/>
      <c r="S28" s="430"/>
      <c r="T28" s="400"/>
      <c r="U28" s="400"/>
      <c r="V28" s="390"/>
      <c r="W28" s="430"/>
      <c r="X28" s="430"/>
      <c r="Y28" s="427"/>
      <c r="Z28" s="427"/>
      <c r="AA28" s="398"/>
      <c r="AB28" s="430"/>
      <c r="AC28" s="430"/>
      <c r="AD28" s="433"/>
      <c r="AE28" s="386"/>
      <c r="AF28" s="301" t="s">
        <v>298</v>
      </c>
      <c r="AG28" s="301">
        <v>100</v>
      </c>
      <c r="AH28" s="301">
        <v>100</v>
      </c>
      <c r="AI28" s="328">
        <v>100</v>
      </c>
    </row>
    <row r="29" spans="1:35" s="290" customFormat="1" ht="60" x14ac:dyDescent="0.25">
      <c r="A29" s="430"/>
      <c r="B29" s="418"/>
      <c r="C29" s="436"/>
      <c r="D29" s="424"/>
      <c r="E29" s="363"/>
      <c r="F29" s="430"/>
      <c r="G29" s="430"/>
      <c r="H29" s="403"/>
      <c r="I29" s="430"/>
      <c r="J29" s="430"/>
      <c r="K29" s="430"/>
      <c r="L29" s="406"/>
      <c r="M29" s="430"/>
      <c r="N29" s="430"/>
      <c r="O29" s="400"/>
      <c r="P29" s="400"/>
      <c r="Q29" s="398"/>
      <c r="R29" s="430"/>
      <c r="S29" s="430"/>
      <c r="T29" s="400"/>
      <c r="U29" s="400"/>
      <c r="V29" s="390"/>
      <c r="W29" s="430"/>
      <c r="X29" s="430"/>
      <c r="Y29" s="427"/>
      <c r="Z29" s="427"/>
      <c r="AA29" s="398"/>
      <c r="AB29" s="430"/>
      <c r="AC29" s="430"/>
      <c r="AD29" s="433"/>
      <c r="AE29" s="386"/>
      <c r="AF29" s="301" t="s">
        <v>299</v>
      </c>
      <c r="AG29" s="301">
        <v>90</v>
      </c>
      <c r="AH29" s="301">
        <v>90</v>
      </c>
      <c r="AI29" s="328">
        <v>90</v>
      </c>
    </row>
    <row r="30" spans="1:35" s="290" customFormat="1" ht="91.5" customHeight="1" x14ac:dyDescent="0.25">
      <c r="A30" s="430"/>
      <c r="B30" s="418"/>
      <c r="C30" s="436"/>
      <c r="D30" s="424"/>
      <c r="E30" s="363"/>
      <c r="F30" s="430"/>
      <c r="G30" s="430"/>
      <c r="H30" s="403"/>
      <c r="I30" s="430"/>
      <c r="J30" s="430"/>
      <c r="K30" s="430"/>
      <c r="L30" s="406"/>
      <c r="M30" s="430"/>
      <c r="N30" s="430"/>
      <c r="O30" s="400"/>
      <c r="P30" s="400"/>
      <c r="Q30" s="398"/>
      <c r="R30" s="430"/>
      <c r="S30" s="430"/>
      <c r="T30" s="400"/>
      <c r="U30" s="400"/>
      <c r="V30" s="390"/>
      <c r="W30" s="430"/>
      <c r="X30" s="430"/>
      <c r="Y30" s="427"/>
      <c r="Z30" s="427"/>
      <c r="AA30" s="398"/>
      <c r="AB30" s="430"/>
      <c r="AC30" s="430"/>
      <c r="AD30" s="433"/>
      <c r="AE30" s="386"/>
      <c r="AF30" s="301" t="s">
        <v>300</v>
      </c>
      <c r="AG30" s="301" t="s">
        <v>301</v>
      </c>
      <c r="AH30" s="301" t="s">
        <v>301</v>
      </c>
      <c r="AI30" s="324">
        <v>100</v>
      </c>
    </row>
    <row r="31" spans="1:35" s="290" customFormat="1" ht="30" x14ac:dyDescent="0.25">
      <c r="A31" s="430"/>
      <c r="B31" s="418"/>
      <c r="C31" s="436"/>
      <c r="D31" s="424"/>
      <c r="E31" s="363"/>
      <c r="F31" s="430"/>
      <c r="G31" s="430"/>
      <c r="H31" s="403"/>
      <c r="I31" s="430"/>
      <c r="J31" s="430"/>
      <c r="K31" s="430"/>
      <c r="L31" s="406"/>
      <c r="M31" s="430"/>
      <c r="N31" s="430"/>
      <c r="O31" s="400"/>
      <c r="P31" s="400"/>
      <c r="Q31" s="398"/>
      <c r="R31" s="430"/>
      <c r="S31" s="430"/>
      <c r="T31" s="400"/>
      <c r="U31" s="400"/>
      <c r="V31" s="390"/>
      <c r="W31" s="430"/>
      <c r="X31" s="430"/>
      <c r="Y31" s="427"/>
      <c r="Z31" s="427"/>
      <c r="AA31" s="398"/>
      <c r="AB31" s="430"/>
      <c r="AC31" s="430"/>
      <c r="AD31" s="433"/>
      <c r="AE31" s="386"/>
      <c r="AF31" s="301" t="s">
        <v>302</v>
      </c>
      <c r="AG31" s="301">
        <v>100</v>
      </c>
      <c r="AH31" s="301">
        <v>100</v>
      </c>
      <c r="AI31" s="328">
        <v>100</v>
      </c>
    </row>
    <row r="32" spans="1:35" s="290" customFormat="1" ht="60" x14ac:dyDescent="0.25">
      <c r="A32" s="431"/>
      <c r="B32" s="419"/>
      <c r="C32" s="437"/>
      <c r="D32" s="425"/>
      <c r="E32" s="388"/>
      <c r="F32" s="431"/>
      <c r="G32" s="431"/>
      <c r="H32" s="404"/>
      <c r="I32" s="431"/>
      <c r="J32" s="431"/>
      <c r="K32" s="431"/>
      <c r="L32" s="407"/>
      <c r="M32" s="431"/>
      <c r="N32" s="431"/>
      <c r="O32" s="401"/>
      <c r="P32" s="401"/>
      <c r="Q32" s="395"/>
      <c r="R32" s="431"/>
      <c r="S32" s="431"/>
      <c r="T32" s="401"/>
      <c r="U32" s="401"/>
      <c r="V32" s="391"/>
      <c r="W32" s="431"/>
      <c r="X32" s="431"/>
      <c r="Y32" s="428"/>
      <c r="Z32" s="428"/>
      <c r="AA32" s="395"/>
      <c r="AB32" s="431"/>
      <c r="AC32" s="431"/>
      <c r="AD32" s="434"/>
      <c r="AE32" s="379"/>
      <c r="AF32" s="301" t="s">
        <v>303</v>
      </c>
      <c r="AG32" s="301">
        <v>80</v>
      </c>
      <c r="AH32" s="301">
        <v>80</v>
      </c>
      <c r="AI32" s="324">
        <v>80</v>
      </c>
    </row>
    <row r="33" spans="1:35" s="334" customFormat="1" x14ac:dyDescent="0.25">
      <c r="A33" s="214"/>
      <c r="B33" s="255" t="s">
        <v>43</v>
      </c>
      <c r="C33" s="216"/>
      <c r="D33" s="217"/>
      <c r="E33" s="218"/>
      <c r="F33" s="218"/>
      <c r="G33" s="218"/>
      <c r="H33" s="244"/>
      <c r="I33" s="218"/>
      <c r="J33" s="218"/>
      <c r="K33" s="218"/>
      <c r="L33" s="244"/>
      <c r="M33" s="329"/>
      <c r="N33" s="218"/>
      <c r="O33" s="245">
        <f>SUM(O8:O27)</f>
        <v>1666690.2</v>
      </c>
      <c r="P33" s="245">
        <f>SUM(P8:P27)</f>
        <v>1633977.6000000003</v>
      </c>
      <c r="Q33" s="218">
        <f>(T33-O33)/O33*100</f>
        <v>-4.1385675634259957</v>
      </c>
      <c r="R33" s="218"/>
      <c r="S33" s="218"/>
      <c r="T33" s="245">
        <f>SUM(T8:T27)</f>
        <v>1597713.1</v>
      </c>
      <c r="U33" s="245">
        <f>SUM(U8:U27)</f>
        <v>1596561.3000000003</v>
      </c>
      <c r="V33" s="218">
        <f>U33/T33*100</f>
        <v>99.927909460090191</v>
      </c>
      <c r="W33" s="218"/>
      <c r="X33" s="218"/>
      <c r="Y33" s="330"/>
      <c r="Z33" s="330"/>
      <c r="AA33" s="218"/>
      <c r="AB33" s="218"/>
      <c r="AC33" s="218"/>
      <c r="AD33" s="331">
        <f t="shared" ref="AD33" si="12">SUM(AD8:AD23)</f>
        <v>885.70000000002619</v>
      </c>
      <c r="AE33" s="245"/>
      <c r="AF33" s="332"/>
      <c r="AG33" s="219"/>
      <c r="AH33" s="332"/>
      <c r="AI33" s="333"/>
    </row>
    <row r="34" spans="1:35" s="334" customFormat="1" ht="14.25" x14ac:dyDescent="0.25">
      <c r="A34" s="214"/>
      <c r="B34" s="255" t="s">
        <v>45</v>
      </c>
      <c r="C34" s="218"/>
      <c r="D34" s="218"/>
      <c r="E34" s="218"/>
      <c r="F34" s="247"/>
      <c r="G34" s="247"/>
      <c r="H34" s="247"/>
      <c r="I34" s="247"/>
      <c r="J34" s="247"/>
      <c r="K34" s="247"/>
      <c r="L34" s="247"/>
      <c r="M34" s="247"/>
      <c r="N34" s="247"/>
      <c r="O34" s="248">
        <f>SUM(O33:O33)</f>
        <v>1666690.2</v>
      </c>
      <c r="P34" s="248">
        <f>SUM(P33:P33)</f>
        <v>1633977.6000000003</v>
      </c>
      <c r="Q34" s="218">
        <f>(P34-O34)/O34*100</f>
        <v>-1.9627282862765754</v>
      </c>
      <c r="R34" s="249"/>
      <c r="S34" s="249"/>
      <c r="T34" s="248">
        <f>SUM(T33:T33)</f>
        <v>1597713.1</v>
      </c>
      <c r="U34" s="248">
        <f>SUM(U33:U33)</f>
        <v>1596561.3000000003</v>
      </c>
      <c r="V34" s="280">
        <f>U34/P34*100</f>
        <v>97.710109367472356</v>
      </c>
      <c r="W34" s="249"/>
      <c r="X34" s="249"/>
      <c r="Y34" s="335"/>
      <c r="Z34" s="335"/>
      <c r="AA34" s="280"/>
      <c r="AB34" s="249"/>
      <c r="AC34" s="249"/>
      <c r="AD34" s="336">
        <f>SUM(AD33:AD33)</f>
        <v>885.70000000002619</v>
      </c>
      <c r="AE34" s="248"/>
      <c r="AF34" s="251"/>
      <c r="AG34" s="251"/>
      <c r="AH34" s="251"/>
      <c r="AI34" s="331"/>
    </row>
    <row r="35" spans="1:35" s="199" customFormat="1" x14ac:dyDescent="0.25">
      <c r="A35" s="1"/>
      <c r="D35" s="208"/>
      <c r="E35" s="202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9"/>
      <c r="S35" s="209"/>
      <c r="T35" s="204"/>
      <c r="U35" s="204"/>
      <c r="V35" s="204"/>
      <c r="W35" s="204"/>
      <c r="X35" s="204"/>
      <c r="Y35" s="203"/>
      <c r="Z35" s="203"/>
      <c r="AA35" s="204"/>
      <c r="AB35" s="204"/>
      <c r="AC35" s="204"/>
      <c r="AD35" s="204"/>
      <c r="AE35" s="204"/>
      <c r="AF35" s="204"/>
    </row>
    <row r="36" spans="1:35" s="199" customFormat="1" x14ac:dyDescent="0.25">
      <c r="A36" s="1"/>
      <c r="D36" s="208"/>
      <c r="E36" s="202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9"/>
      <c r="S36" s="209"/>
      <c r="T36" s="204"/>
      <c r="U36" s="204"/>
      <c r="V36" s="204"/>
      <c r="W36" s="204"/>
      <c r="X36" s="204"/>
      <c r="Y36" s="203"/>
      <c r="Z36" s="203"/>
      <c r="AA36" s="204"/>
      <c r="AB36" s="204"/>
      <c r="AC36" s="204"/>
      <c r="AD36" s="204"/>
      <c r="AE36" s="204"/>
      <c r="AF36" s="204"/>
    </row>
    <row r="37" spans="1:35" s="199" customFormat="1" x14ac:dyDescent="0.25">
      <c r="A37" s="1"/>
      <c r="D37" s="208"/>
      <c r="E37" s="202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9"/>
      <c r="S37" s="209"/>
      <c r="T37" s="204"/>
      <c r="U37" s="204"/>
      <c r="V37" s="204"/>
      <c r="W37" s="204"/>
      <c r="X37" s="204"/>
      <c r="Y37" s="203"/>
      <c r="Z37" s="203"/>
      <c r="AA37" s="204"/>
      <c r="AB37" s="204"/>
      <c r="AC37" s="204"/>
      <c r="AD37" s="204"/>
      <c r="AE37" s="204"/>
      <c r="AF37" s="204"/>
    </row>
    <row r="38" spans="1:35" s="199" customFormat="1" x14ac:dyDescent="0.25">
      <c r="A38" s="1"/>
      <c r="D38" s="208"/>
      <c r="E38" s="202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9"/>
      <c r="S38" s="209"/>
      <c r="T38" s="204"/>
      <c r="U38" s="204"/>
      <c r="V38" s="204"/>
      <c r="W38" s="204"/>
      <c r="X38" s="204"/>
      <c r="Y38" s="203"/>
      <c r="Z38" s="203"/>
      <c r="AA38" s="204"/>
      <c r="AB38" s="204"/>
      <c r="AC38" s="204"/>
      <c r="AD38" s="204"/>
      <c r="AE38" s="204"/>
      <c r="AF38" s="204"/>
    </row>
    <row r="39" spans="1:35" s="199" customFormat="1" x14ac:dyDescent="0.25">
      <c r="A39" s="1"/>
      <c r="D39" s="208"/>
      <c r="E39" s="202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9"/>
      <c r="S39" s="209"/>
      <c r="T39" s="204"/>
      <c r="U39" s="204"/>
      <c r="V39" s="204"/>
      <c r="W39" s="204"/>
      <c r="X39" s="204"/>
      <c r="Y39" s="203"/>
      <c r="Z39" s="203"/>
      <c r="AA39" s="204"/>
      <c r="AB39" s="204"/>
      <c r="AC39" s="204"/>
      <c r="AD39" s="204"/>
      <c r="AE39" s="204"/>
      <c r="AF39" s="204"/>
    </row>
    <row r="40" spans="1:35" s="338" customFormat="1" ht="36" customHeight="1" x14ac:dyDescent="0.25">
      <c r="A40" s="352" t="s">
        <v>274</v>
      </c>
      <c r="B40" s="352"/>
      <c r="C40" s="352"/>
      <c r="E40" s="339"/>
      <c r="F40" s="340"/>
      <c r="G40" s="354" t="s">
        <v>278</v>
      </c>
      <c r="H40" s="354"/>
      <c r="I40" s="340"/>
      <c r="J40" s="340"/>
      <c r="K40" s="340"/>
      <c r="L40" s="340"/>
      <c r="M40" s="340"/>
      <c r="N40" s="340"/>
      <c r="O40" s="340"/>
      <c r="P40" s="340"/>
      <c r="Q40" s="340"/>
      <c r="R40" s="341"/>
      <c r="W40" s="340"/>
      <c r="X40" s="340"/>
      <c r="Y40" s="342"/>
      <c r="Z40" s="342"/>
      <c r="AA40" s="340"/>
      <c r="AB40" s="340"/>
      <c r="AC40" s="340"/>
      <c r="AD40" s="340"/>
      <c r="AE40" s="340"/>
      <c r="AF40" s="340"/>
    </row>
    <row r="41" spans="1:35" s="199" customFormat="1" x14ac:dyDescent="0.25">
      <c r="A41" s="1"/>
      <c r="E41" s="208" t="s">
        <v>277</v>
      </c>
      <c r="F41" s="204"/>
      <c r="G41" s="355" t="s">
        <v>279</v>
      </c>
      <c r="H41" s="355"/>
      <c r="I41" s="204"/>
      <c r="J41" s="204"/>
      <c r="K41" s="204"/>
      <c r="L41" s="204"/>
      <c r="M41" s="204"/>
      <c r="N41" s="204"/>
      <c r="O41" s="204"/>
      <c r="P41" s="204"/>
      <c r="Q41" s="204"/>
      <c r="R41" s="209"/>
      <c r="W41" s="204"/>
      <c r="X41" s="204"/>
      <c r="Y41" s="203"/>
      <c r="Z41" s="203"/>
      <c r="AA41" s="204"/>
      <c r="AB41" s="204"/>
      <c r="AC41" s="204"/>
      <c r="AD41" s="204"/>
      <c r="AE41" s="204"/>
      <c r="AF41" s="204"/>
    </row>
    <row r="42" spans="1:35" s="199" customFormat="1" x14ac:dyDescent="0.25">
      <c r="A42" s="1"/>
      <c r="D42" s="208"/>
      <c r="E42" s="202"/>
      <c r="R42" s="210"/>
      <c r="S42" s="210"/>
      <c r="Y42" s="205"/>
      <c r="Z42" s="205"/>
    </row>
    <row r="43" spans="1:35" s="199" customFormat="1" x14ac:dyDescent="0.25">
      <c r="A43" s="353" t="s">
        <v>275</v>
      </c>
      <c r="B43" s="353"/>
      <c r="C43" s="353"/>
      <c r="D43" s="353"/>
      <c r="E43" s="353"/>
      <c r="F43" s="353"/>
      <c r="R43" s="210"/>
      <c r="S43" s="210"/>
      <c r="Y43" s="205"/>
      <c r="Z43" s="205"/>
    </row>
    <row r="44" spans="1:35" s="199" customFormat="1" x14ac:dyDescent="0.2">
      <c r="A44" s="310"/>
      <c r="B44" s="310"/>
      <c r="C44" s="310"/>
      <c r="D44" s="311"/>
      <c r="E44" s="311"/>
      <c r="F44" s="311"/>
      <c r="R44" s="210"/>
      <c r="S44" s="210"/>
      <c r="Y44" s="205"/>
      <c r="Z44" s="205"/>
    </row>
    <row r="45" spans="1:35" s="199" customFormat="1" x14ac:dyDescent="0.2">
      <c r="A45" s="353" t="s">
        <v>276</v>
      </c>
      <c r="B45" s="353"/>
      <c r="C45" s="353"/>
      <c r="D45" s="353"/>
      <c r="E45" s="353"/>
      <c r="F45" s="311"/>
      <c r="R45" s="210"/>
      <c r="S45" s="210"/>
      <c r="Y45" s="205"/>
      <c r="Z45" s="205"/>
    </row>
  </sheetData>
  <mergeCells count="223">
    <mergeCell ref="A43:F43"/>
    <mergeCell ref="A45:E45"/>
    <mergeCell ref="E5:E6"/>
    <mergeCell ref="F5:F6"/>
    <mergeCell ref="G5:G6"/>
    <mergeCell ref="H5:H6"/>
    <mergeCell ref="I5:J5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W5:X5"/>
    <mergeCell ref="Q5:Q6"/>
    <mergeCell ref="R5:S5"/>
    <mergeCell ref="T5:T6"/>
    <mergeCell ref="U5:U6"/>
    <mergeCell ref="V5:V6"/>
    <mergeCell ref="K5:K6"/>
    <mergeCell ref="L5:L6"/>
    <mergeCell ref="M5:N5"/>
    <mergeCell ref="O5:O6"/>
    <mergeCell ref="P5:P6"/>
    <mergeCell ref="F9:F12"/>
    <mergeCell ref="G9:G12"/>
    <mergeCell ref="H9:H12"/>
    <mergeCell ref="I9:I12"/>
    <mergeCell ref="J9:J12"/>
    <mergeCell ref="A9:A12"/>
    <mergeCell ref="B9:B12"/>
    <mergeCell ref="C9:C12"/>
    <mergeCell ref="D9:D12"/>
    <mergeCell ref="E9:E12"/>
    <mergeCell ref="P9:P12"/>
    <mergeCell ref="Q9:Q12"/>
    <mergeCell ref="R9:R12"/>
    <mergeCell ref="S9:S12"/>
    <mergeCell ref="T9:T12"/>
    <mergeCell ref="K9:K12"/>
    <mergeCell ref="L9:L12"/>
    <mergeCell ref="M9:M12"/>
    <mergeCell ref="N9:N12"/>
    <mergeCell ref="O9:O12"/>
    <mergeCell ref="AA9:AA12"/>
    <mergeCell ref="AB9:AB12"/>
    <mergeCell ref="AC9:AC12"/>
    <mergeCell ref="AD9:AD12"/>
    <mergeCell ref="U9:U12"/>
    <mergeCell ref="V9:V12"/>
    <mergeCell ref="W9:W12"/>
    <mergeCell ref="X9:X12"/>
    <mergeCell ref="Y9:Y12"/>
    <mergeCell ref="X13:X16"/>
    <mergeCell ref="Y13:Y16"/>
    <mergeCell ref="P13:P16"/>
    <mergeCell ref="Q13:Q16"/>
    <mergeCell ref="R13:R16"/>
    <mergeCell ref="S13:S16"/>
    <mergeCell ref="T13:T16"/>
    <mergeCell ref="AE9:AE12"/>
    <mergeCell ref="A13:A16"/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K13:K16"/>
    <mergeCell ref="L13:L16"/>
    <mergeCell ref="M13:M16"/>
    <mergeCell ref="N13:N16"/>
    <mergeCell ref="O13:O16"/>
    <mergeCell ref="Z9:Z12"/>
    <mergeCell ref="AE13:AE16"/>
    <mergeCell ref="A17:A20"/>
    <mergeCell ref="B17:B20"/>
    <mergeCell ref="C17:C20"/>
    <mergeCell ref="D17:D20"/>
    <mergeCell ref="E17:E20"/>
    <mergeCell ref="F17:F20"/>
    <mergeCell ref="G17:G20"/>
    <mergeCell ref="H17:H20"/>
    <mergeCell ref="I17:I20"/>
    <mergeCell ref="J17:J20"/>
    <mergeCell ref="K17:K20"/>
    <mergeCell ref="L17:L20"/>
    <mergeCell ref="M17:M20"/>
    <mergeCell ref="N17:N20"/>
    <mergeCell ref="O17:O20"/>
    <mergeCell ref="Z13:Z16"/>
    <mergeCell ref="AA13:AA16"/>
    <mergeCell ref="AB13:AB16"/>
    <mergeCell ref="AC13:AC16"/>
    <mergeCell ref="AD13:AD16"/>
    <mergeCell ref="U13:U16"/>
    <mergeCell ref="V13:V16"/>
    <mergeCell ref="W13:W16"/>
    <mergeCell ref="AC17:AC20"/>
    <mergeCell ref="AD17:AD20"/>
    <mergeCell ref="U17:U20"/>
    <mergeCell ref="V17:V20"/>
    <mergeCell ref="W17:W20"/>
    <mergeCell ref="X17:X20"/>
    <mergeCell ref="Y17:Y20"/>
    <mergeCell ref="P17:P20"/>
    <mergeCell ref="Q17:Q20"/>
    <mergeCell ref="R17:R20"/>
    <mergeCell ref="S17:S20"/>
    <mergeCell ref="T17:T20"/>
    <mergeCell ref="P21:P23"/>
    <mergeCell ref="Q21:Q23"/>
    <mergeCell ref="R21:R23"/>
    <mergeCell ref="S21:S23"/>
    <mergeCell ref="T21:T23"/>
    <mergeCell ref="AE17:AE20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Z17:Z20"/>
    <mergeCell ref="AA17:AA20"/>
    <mergeCell ref="AB17:AB20"/>
    <mergeCell ref="AA21:AA23"/>
    <mergeCell ref="AB21:AB23"/>
    <mergeCell ref="AC21:AC23"/>
    <mergeCell ref="AD21:AD23"/>
    <mergeCell ref="U21:U23"/>
    <mergeCell ref="V21:V23"/>
    <mergeCell ref="W21:W23"/>
    <mergeCell ref="X21:X23"/>
    <mergeCell ref="Y21:Y23"/>
    <mergeCell ref="X25:X26"/>
    <mergeCell ref="Y25:Y26"/>
    <mergeCell ref="P25:P26"/>
    <mergeCell ref="Q25:Q26"/>
    <mergeCell ref="R25:R26"/>
    <mergeCell ref="S25:S26"/>
    <mergeCell ref="T25:T26"/>
    <mergeCell ref="AE21:AE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Z21:Z23"/>
    <mergeCell ref="AE25:AE26"/>
    <mergeCell ref="A27:A32"/>
    <mergeCell ref="B27:B32"/>
    <mergeCell ref="C27:C32"/>
    <mergeCell ref="D27:D32"/>
    <mergeCell ref="E27:E32"/>
    <mergeCell ref="F27:F32"/>
    <mergeCell ref="G27:G32"/>
    <mergeCell ref="H27:H32"/>
    <mergeCell ref="I27:I32"/>
    <mergeCell ref="J27:J32"/>
    <mergeCell ref="K27:K32"/>
    <mergeCell ref="L27:L32"/>
    <mergeCell ref="M27:M32"/>
    <mergeCell ref="N27:N32"/>
    <mergeCell ref="O27:O32"/>
    <mergeCell ref="Z25:Z26"/>
    <mergeCell ref="AA25:AA26"/>
    <mergeCell ref="AB25:AB26"/>
    <mergeCell ref="AC25:AC26"/>
    <mergeCell ref="AD25:AD26"/>
    <mergeCell ref="U25:U26"/>
    <mergeCell ref="V25:V26"/>
    <mergeCell ref="W25:W26"/>
    <mergeCell ref="AE27:AE32"/>
    <mergeCell ref="A40:C40"/>
    <mergeCell ref="G40:H40"/>
    <mergeCell ref="G41:H41"/>
    <mergeCell ref="Z27:Z32"/>
    <mergeCell ref="AA27:AA32"/>
    <mergeCell ref="AB27:AB32"/>
    <mergeCell ref="AC27:AC32"/>
    <mergeCell ref="AD27:AD32"/>
    <mergeCell ref="U27:U32"/>
    <mergeCell ref="V27:V32"/>
    <mergeCell ref="W27:W32"/>
    <mergeCell ref="X27:X32"/>
    <mergeCell ref="Y27:Y32"/>
    <mergeCell ref="P27:P32"/>
    <mergeCell ref="Q27:Q32"/>
    <mergeCell ref="R27:R32"/>
    <mergeCell ref="S27:S32"/>
    <mergeCell ref="T27:T32"/>
  </mergeCells>
  <printOptions horizontalCentered="1"/>
  <pageMargins left="0.196527777777778" right="0.196527777777778" top="0.94513888888888897" bottom="0.15763888888888899" header="0.31527777777777799" footer="0.51180555555555496"/>
  <pageSetup paperSize="8" scale="48" firstPageNumber="0" fitToHeight="0" orientation="landscape" horizontalDpi="300" verticalDpi="300" r:id="rId1"/>
  <headerFooter>
    <oddHeader>&amp;R&amp;"Times New Roman,Обычный"&amp;14&amp;P</oddHeader>
  </headerFooter>
  <rowBreaks count="1" manualBreakCount="1">
    <brk id="24" max="3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F6D19"/>
    <pageSetUpPr fitToPage="1"/>
  </sheetPr>
  <dimension ref="A1:AMK83"/>
  <sheetViews>
    <sheetView view="pageBreakPreview" topLeftCell="G60" zoomScale="70" zoomScaleNormal="70" zoomScalePageLayoutView="70" workbookViewId="0">
      <selection activeCell="AA8" sqref="AA8"/>
    </sheetView>
  </sheetViews>
  <sheetFormatPr defaultRowHeight="15" x14ac:dyDescent="0.25"/>
  <cols>
    <col min="1" max="1" width="14" style="1" customWidth="1"/>
    <col min="2" max="2" width="43.7109375" style="2" customWidth="1"/>
    <col min="3" max="3" width="16.7109375" style="3" customWidth="1"/>
    <col min="4" max="4" width="11.42578125" style="4"/>
    <col min="5" max="5" width="20.28515625" style="5" customWidth="1"/>
    <col min="6" max="6" width="13.7109375" style="3" customWidth="1"/>
    <col min="7" max="7" width="14.28515625" style="3" customWidth="1"/>
    <col min="8" max="8" width="16.42578125" style="3" customWidth="1"/>
    <col min="9" max="9" width="14" style="3" customWidth="1"/>
    <col min="10" max="10" width="15.28515625" style="3" customWidth="1"/>
    <col min="11" max="11" width="15.140625" style="3" customWidth="1"/>
    <col min="12" max="12" width="12.28515625" style="3" customWidth="1"/>
    <col min="13" max="13" width="11" style="3" customWidth="1"/>
    <col min="14" max="14" width="9.7109375" style="3" customWidth="1"/>
    <col min="15" max="15" width="21.7109375" style="3" customWidth="1"/>
    <col min="16" max="16" width="21" style="3" customWidth="1"/>
    <col min="17" max="17" width="17.42578125" style="3" customWidth="1"/>
    <col min="18" max="18" width="14.42578125" style="6" customWidth="1"/>
    <col min="19" max="19" width="18.5703125" style="6" customWidth="1"/>
    <col min="20" max="20" width="16" style="3" customWidth="1"/>
    <col min="21" max="21" width="14.7109375" style="3" customWidth="1"/>
    <col min="22" max="22" width="14.140625" style="3" customWidth="1"/>
    <col min="23" max="23" width="10.140625" style="3" customWidth="1"/>
    <col min="24" max="24" width="9.7109375" style="3" customWidth="1"/>
    <col min="25" max="25" width="13.5703125" style="7" customWidth="1"/>
    <col min="26" max="26" width="16.5703125" style="7" customWidth="1"/>
    <col min="27" max="27" width="15.28515625" style="3" customWidth="1"/>
    <col min="28" max="28" width="12" style="3" customWidth="1"/>
    <col min="29" max="29" width="14.42578125" style="3" customWidth="1"/>
    <col min="30" max="30" width="13.85546875" style="3" customWidth="1"/>
    <col min="31" max="31" width="14.85546875" style="3" customWidth="1"/>
    <col min="32" max="32" width="25.28515625" style="2" customWidth="1"/>
    <col min="33" max="35" width="13.42578125" style="3" customWidth="1"/>
    <col min="36" max="1025" width="8.85546875" style="3" customWidth="1"/>
  </cols>
  <sheetData>
    <row r="1" spans="1:35" ht="32.1" customHeight="1" x14ac:dyDescent="0.25">
      <c r="A1" s="452" t="s">
        <v>52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</row>
    <row r="2" spans="1:35" ht="20.25" x14ac:dyDescent="0.25">
      <c r="A2" s="45"/>
      <c r="B2" s="46"/>
      <c r="C2" s="47"/>
      <c r="D2" s="48"/>
      <c r="E2" s="49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8"/>
      <c r="S2" s="48"/>
      <c r="T2" s="47"/>
      <c r="U2" s="47"/>
      <c r="V2" s="47"/>
      <c r="W2" s="47"/>
      <c r="X2" s="47"/>
      <c r="Y2" s="50"/>
      <c r="Z2" s="50"/>
      <c r="AA2" s="47"/>
      <c r="AB2" s="47"/>
      <c r="AC2" s="47"/>
      <c r="AD2" s="47"/>
      <c r="AE2" s="47"/>
      <c r="AF2" s="51"/>
      <c r="AG2" s="47"/>
      <c r="AH2" s="47"/>
      <c r="AI2" s="47"/>
    </row>
    <row r="3" spans="1:35" s="2" customFormat="1" ht="29.25" customHeight="1" x14ac:dyDescent="0.25">
      <c r="A3" s="348" t="s">
        <v>1</v>
      </c>
      <c r="B3" s="348" t="s">
        <v>2</v>
      </c>
      <c r="C3" s="348" t="s">
        <v>3</v>
      </c>
      <c r="D3" s="348" t="s">
        <v>53</v>
      </c>
      <c r="E3" s="348" t="s">
        <v>5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9" t="s">
        <v>6</v>
      </c>
      <c r="Z3" s="349"/>
      <c r="AA3" s="349"/>
      <c r="AB3" s="349"/>
      <c r="AC3" s="349"/>
      <c r="AD3" s="348" t="s">
        <v>54</v>
      </c>
      <c r="AE3" s="348" t="s">
        <v>55</v>
      </c>
      <c r="AF3" s="348" t="s">
        <v>9</v>
      </c>
      <c r="AG3" s="348"/>
      <c r="AH3" s="348"/>
      <c r="AI3" s="348"/>
    </row>
    <row r="4" spans="1:35" s="2" customFormat="1" ht="17.649999999999999" customHeight="1" x14ac:dyDescent="0.25">
      <c r="A4" s="348"/>
      <c r="B4" s="348"/>
      <c r="C4" s="348"/>
      <c r="D4" s="348"/>
      <c r="E4" s="350" t="s">
        <v>10</v>
      </c>
      <c r="F4" s="350"/>
      <c r="G4" s="350"/>
      <c r="H4" s="350"/>
      <c r="I4" s="350"/>
      <c r="J4" s="350"/>
      <c r="K4" s="350"/>
      <c r="L4" s="350"/>
      <c r="M4" s="350"/>
      <c r="N4" s="350"/>
      <c r="O4" s="351" t="s">
        <v>11</v>
      </c>
      <c r="P4" s="351"/>
      <c r="Q4" s="351"/>
      <c r="R4" s="351"/>
      <c r="S4" s="351"/>
      <c r="T4" s="351"/>
      <c r="U4" s="351"/>
      <c r="V4" s="351"/>
      <c r="W4" s="351"/>
      <c r="X4" s="351"/>
      <c r="Y4" s="346" t="s">
        <v>12</v>
      </c>
      <c r="Z4" s="346" t="s">
        <v>13</v>
      </c>
      <c r="AA4" s="346" t="s">
        <v>14</v>
      </c>
      <c r="AB4" s="346" t="s">
        <v>15</v>
      </c>
      <c r="AC4" s="346"/>
      <c r="AD4" s="348"/>
      <c r="AE4" s="348"/>
      <c r="AF4" s="348"/>
      <c r="AG4" s="348"/>
      <c r="AH4" s="348"/>
      <c r="AI4" s="348"/>
    </row>
    <row r="5" spans="1:35" s="2" customFormat="1" ht="108" customHeight="1" x14ac:dyDescent="0.25">
      <c r="A5" s="348"/>
      <c r="B5" s="348"/>
      <c r="C5" s="348"/>
      <c r="D5" s="348"/>
      <c r="E5" s="346" t="s">
        <v>16</v>
      </c>
      <c r="F5" s="346" t="s">
        <v>56</v>
      </c>
      <c r="G5" s="346" t="s">
        <v>57</v>
      </c>
      <c r="H5" s="346" t="s">
        <v>19</v>
      </c>
      <c r="I5" s="346" t="s">
        <v>20</v>
      </c>
      <c r="J5" s="346"/>
      <c r="K5" s="346" t="s">
        <v>21</v>
      </c>
      <c r="L5" s="346" t="s">
        <v>22</v>
      </c>
      <c r="M5" s="346" t="s">
        <v>23</v>
      </c>
      <c r="N5" s="346"/>
      <c r="O5" s="346" t="s">
        <v>58</v>
      </c>
      <c r="P5" s="346" t="s">
        <v>59</v>
      </c>
      <c r="Q5" s="346" t="s">
        <v>26</v>
      </c>
      <c r="R5" s="356" t="s">
        <v>27</v>
      </c>
      <c r="S5" s="356"/>
      <c r="T5" s="346" t="s">
        <v>60</v>
      </c>
      <c r="U5" s="346" t="s">
        <v>61</v>
      </c>
      <c r="V5" s="346" t="s">
        <v>29</v>
      </c>
      <c r="W5" s="346" t="s">
        <v>23</v>
      </c>
      <c r="X5" s="346"/>
      <c r="Y5" s="346"/>
      <c r="Z5" s="346"/>
      <c r="AA5" s="346"/>
      <c r="AB5" s="346"/>
      <c r="AC5" s="346"/>
      <c r="AD5" s="348"/>
      <c r="AE5" s="348"/>
      <c r="AF5" s="348"/>
      <c r="AG5" s="348"/>
      <c r="AH5" s="348"/>
      <c r="AI5" s="348"/>
    </row>
    <row r="6" spans="1:35" s="2" customFormat="1" ht="91.5" customHeight="1" x14ac:dyDescent="0.25">
      <c r="A6" s="348"/>
      <c r="B6" s="348"/>
      <c r="C6" s="348"/>
      <c r="D6" s="348"/>
      <c r="E6" s="346"/>
      <c r="F6" s="346"/>
      <c r="G6" s="346"/>
      <c r="H6" s="346"/>
      <c r="I6" s="10" t="s">
        <v>30</v>
      </c>
      <c r="J6" s="11" t="s">
        <v>31</v>
      </c>
      <c r="K6" s="346"/>
      <c r="L6" s="346"/>
      <c r="M6" s="10" t="s">
        <v>32</v>
      </c>
      <c r="N6" s="11" t="s">
        <v>33</v>
      </c>
      <c r="O6" s="346"/>
      <c r="P6" s="346"/>
      <c r="Q6" s="346"/>
      <c r="R6" s="10" t="s">
        <v>34</v>
      </c>
      <c r="S6" s="11" t="s">
        <v>31</v>
      </c>
      <c r="T6" s="346"/>
      <c r="U6" s="346"/>
      <c r="V6" s="346"/>
      <c r="W6" s="10" t="s">
        <v>32</v>
      </c>
      <c r="X6" s="11" t="s">
        <v>33</v>
      </c>
      <c r="Y6" s="346"/>
      <c r="Z6" s="346"/>
      <c r="AA6" s="346"/>
      <c r="AB6" s="12" t="s">
        <v>30</v>
      </c>
      <c r="AC6" s="12" t="s">
        <v>31</v>
      </c>
      <c r="AD6" s="348"/>
      <c r="AE6" s="348"/>
      <c r="AF6" s="12" t="s">
        <v>35</v>
      </c>
      <c r="AG6" s="12" t="s">
        <v>62</v>
      </c>
      <c r="AH6" s="12" t="s">
        <v>63</v>
      </c>
      <c r="AI6" s="12" t="s">
        <v>38</v>
      </c>
    </row>
    <row r="7" spans="1:35" s="14" customFormat="1" x14ac:dyDescent="0.25">
      <c r="A7" s="9">
        <v>1</v>
      </c>
      <c r="B7" s="9">
        <v>2</v>
      </c>
      <c r="C7" s="9">
        <v>3</v>
      </c>
      <c r="D7" s="8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9">
        <v>24</v>
      </c>
      <c r="Y7" s="9">
        <v>25</v>
      </c>
      <c r="Z7" s="9">
        <v>26</v>
      </c>
      <c r="AA7" s="9">
        <v>27</v>
      </c>
      <c r="AB7" s="9">
        <v>28</v>
      </c>
      <c r="AC7" s="9">
        <v>29</v>
      </c>
      <c r="AD7" s="9">
        <v>30</v>
      </c>
      <c r="AE7" s="9">
        <v>31</v>
      </c>
      <c r="AF7" s="9">
        <v>32</v>
      </c>
      <c r="AG7" s="9">
        <v>33</v>
      </c>
      <c r="AH7" s="9">
        <v>34</v>
      </c>
      <c r="AI7" s="13">
        <v>35</v>
      </c>
    </row>
    <row r="8" spans="1:35" s="14" customFormat="1" ht="177" customHeight="1" x14ac:dyDescent="0.25">
      <c r="A8" s="15">
        <v>2407</v>
      </c>
      <c r="B8" s="24" t="s">
        <v>64</v>
      </c>
      <c r="C8" s="16" t="s">
        <v>41</v>
      </c>
      <c r="D8" s="17">
        <v>3</v>
      </c>
      <c r="E8" s="15" t="s">
        <v>65</v>
      </c>
      <c r="F8" s="18">
        <v>275</v>
      </c>
      <c r="G8" s="18">
        <v>275</v>
      </c>
      <c r="H8" s="19">
        <f t="shared" ref="H8:H15" si="0">(G8-F8)/F8*100</f>
        <v>0</v>
      </c>
      <c r="I8" s="18">
        <v>0</v>
      </c>
      <c r="J8" s="18">
        <v>0</v>
      </c>
      <c r="K8" s="18">
        <v>264</v>
      </c>
      <c r="L8" s="20">
        <f t="shared" ref="L8:L15" si="1">K8/G8*100</f>
        <v>96</v>
      </c>
      <c r="M8" s="18"/>
      <c r="N8" s="18"/>
      <c r="O8" s="22">
        <v>48661.171399999999</v>
      </c>
      <c r="P8" s="22">
        <v>53089.9761</v>
      </c>
      <c r="Q8" s="21">
        <f t="shared" ref="Q8:Q15" si="2">(P8-O8)/O8*100</f>
        <v>9.1013113177953642</v>
      </c>
      <c r="R8" s="18">
        <v>2</v>
      </c>
      <c r="S8" s="18">
        <v>0</v>
      </c>
      <c r="T8" s="22">
        <v>53089.9761</v>
      </c>
      <c r="U8" s="22">
        <v>53089.9761</v>
      </c>
      <c r="V8" s="22">
        <f t="shared" ref="V8:V15" si="3">T8/P8*100</f>
        <v>100</v>
      </c>
      <c r="W8" s="18"/>
      <c r="X8" s="18"/>
      <c r="Y8" s="22">
        <f>O8/F8</f>
        <v>176.94971418181817</v>
      </c>
      <c r="Z8" s="22">
        <f>P8/G8</f>
        <v>193.05445854545454</v>
      </c>
      <c r="AA8" s="21">
        <f>(Z8-Y8)/Y8*100</f>
        <v>9.1013113177953677</v>
      </c>
      <c r="AB8" s="18">
        <v>2</v>
      </c>
      <c r="AC8" s="18">
        <v>0</v>
      </c>
      <c r="AD8" s="18"/>
      <c r="AE8" s="18"/>
      <c r="AF8" s="450" t="s">
        <v>66</v>
      </c>
      <c r="AG8" s="451">
        <v>85</v>
      </c>
      <c r="AH8" s="451">
        <v>85</v>
      </c>
      <c r="AI8" s="451">
        <f>AH8/AG8*100</f>
        <v>100</v>
      </c>
    </row>
    <row r="9" spans="1:35" s="14" customFormat="1" ht="162.75" customHeight="1" x14ac:dyDescent="0.25">
      <c r="A9" s="15">
        <v>2407</v>
      </c>
      <c r="B9" s="24" t="s">
        <v>67</v>
      </c>
      <c r="C9" s="16" t="s">
        <v>41</v>
      </c>
      <c r="D9" s="17">
        <v>2</v>
      </c>
      <c r="E9" s="15" t="s">
        <v>65</v>
      </c>
      <c r="F9" s="18">
        <v>207</v>
      </c>
      <c r="G9" s="18">
        <v>207</v>
      </c>
      <c r="H9" s="19">
        <f t="shared" si="0"/>
        <v>0</v>
      </c>
      <c r="I9" s="18">
        <v>0</v>
      </c>
      <c r="J9" s="18">
        <v>0</v>
      </c>
      <c r="K9" s="18">
        <v>209</v>
      </c>
      <c r="L9" s="20">
        <f t="shared" si="1"/>
        <v>100.96618357487924</v>
      </c>
      <c r="M9" s="18"/>
      <c r="N9" s="18"/>
      <c r="O9" s="22">
        <v>67057.556700000001</v>
      </c>
      <c r="P9" s="22">
        <v>71198.475699999995</v>
      </c>
      <c r="Q9" s="21">
        <f t="shared" si="2"/>
        <v>6.1751713062339988</v>
      </c>
      <c r="R9" s="18">
        <v>1</v>
      </c>
      <c r="S9" s="18">
        <v>0</v>
      </c>
      <c r="T9" s="22">
        <v>71198.475699999995</v>
      </c>
      <c r="U9" s="22">
        <v>71198.475699999995</v>
      </c>
      <c r="V9" s="22">
        <f t="shared" si="3"/>
        <v>100</v>
      </c>
      <c r="W9" s="18"/>
      <c r="X9" s="18"/>
      <c r="Y9" s="22">
        <f t="shared" ref="Y9:Z14" si="4">O9/F9</f>
        <v>323.9495492753623</v>
      </c>
      <c r="Z9" s="22">
        <f t="shared" si="4"/>
        <v>343.95398888888889</v>
      </c>
      <c r="AA9" s="21">
        <f t="shared" ref="AA9:AA15" si="5">(Z9-Y9)/Y9*100</f>
        <v>6.175171306234013</v>
      </c>
      <c r="AB9" s="18">
        <v>1</v>
      </c>
      <c r="AC9" s="18">
        <v>0</v>
      </c>
      <c r="AD9" s="18"/>
      <c r="AE9" s="18"/>
      <c r="AF9" s="450"/>
      <c r="AG9" s="451"/>
      <c r="AH9" s="451"/>
      <c r="AI9" s="451"/>
    </row>
    <row r="10" spans="1:35" s="14" customFormat="1" ht="148.5" customHeight="1" x14ac:dyDescent="0.25">
      <c r="A10" s="15">
        <v>2407</v>
      </c>
      <c r="B10" s="24" t="s">
        <v>68</v>
      </c>
      <c r="C10" s="16" t="s">
        <v>41</v>
      </c>
      <c r="D10" s="17">
        <v>7</v>
      </c>
      <c r="E10" s="15" t="s">
        <v>65</v>
      </c>
      <c r="F10" s="18">
        <v>1009</v>
      </c>
      <c r="G10" s="18">
        <v>1009</v>
      </c>
      <c r="H10" s="19">
        <f t="shared" si="0"/>
        <v>0</v>
      </c>
      <c r="I10" s="18">
        <v>0</v>
      </c>
      <c r="J10" s="18">
        <v>0</v>
      </c>
      <c r="K10" s="18">
        <v>1014</v>
      </c>
      <c r="L10" s="20">
        <f t="shared" si="1"/>
        <v>100.49554013875124</v>
      </c>
      <c r="M10" s="18"/>
      <c r="N10" s="18"/>
      <c r="O10" s="22">
        <v>254583.30777000001</v>
      </c>
      <c r="P10" s="22">
        <v>269840.75578000001</v>
      </c>
      <c r="Q10" s="21">
        <f t="shared" si="2"/>
        <v>5.9931062030917346</v>
      </c>
      <c r="R10" s="18">
        <v>6</v>
      </c>
      <c r="S10" s="18">
        <v>0</v>
      </c>
      <c r="T10" s="22">
        <v>269840.75578000001</v>
      </c>
      <c r="U10" s="22">
        <v>269840.75578000001</v>
      </c>
      <c r="V10" s="22">
        <f t="shared" si="3"/>
        <v>100</v>
      </c>
      <c r="W10" s="18"/>
      <c r="X10" s="18"/>
      <c r="Y10" s="22">
        <f t="shared" si="4"/>
        <v>252.31249531219029</v>
      </c>
      <c r="Z10" s="22">
        <f t="shared" si="4"/>
        <v>267.43385111992075</v>
      </c>
      <c r="AA10" s="21">
        <f t="shared" si="5"/>
        <v>5.9931062030917488</v>
      </c>
      <c r="AB10" s="18">
        <v>6</v>
      </c>
      <c r="AC10" s="18">
        <v>0</v>
      </c>
      <c r="AD10" s="18"/>
      <c r="AE10" s="18"/>
      <c r="AF10" s="450"/>
      <c r="AG10" s="451"/>
      <c r="AH10" s="451"/>
      <c r="AI10" s="451"/>
    </row>
    <row r="11" spans="1:35" s="14" customFormat="1" ht="154.5" customHeight="1" x14ac:dyDescent="0.25">
      <c r="A11" s="15">
        <v>2407</v>
      </c>
      <c r="B11" s="24" t="s">
        <v>69</v>
      </c>
      <c r="C11" s="16" t="s">
        <v>41</v>
      </c>
      <c r="D11" s="17">
        <v>3</v>
      </c>
      <c r="E11" s="15" t="s">
        <v>65</v>
      </c>
      <c r="F11" s="18">
        <v>136</v>
      </c>
      <c r="G11" s="18">
        <v>136</v>
      </c>
      <c r="H11" s="19">
        <f t="shared" si="0"/>
        <v>0</v>
      </c>
      <c r="I11" s="18">
        <v>0</v>
      </c>
      <c r="J11" s="18">
        <v>0</v>
      </c>
      <c r="K11" s="18">
        <v>135</v>
      </c>
      <c r="L11" s="20">
        <f t="shared" si="1"/>
        <v>99.264705882352942</v>
      </c>
      <c r="M11" s="18"/>
      <c r="N11" s="18"/>
      <c r="O11" s="22">
        <v>31960.190500000001</v>
      </c>
      <c r="P11" s="22">
        <v>34629.005870000001</v>
      </c>
      <c r="Q11" s="21">
        <f t="shared" si="2"/>
        <v>8.3504363655154066</v>
      </c>
      <c r="R11" s="18">
        <v>3</v>
      </c>
      <c r="S11" s="18">
        <v>0</v>
      </c>
      <c r="T11" s="22">
        <v>34629.005870000001</v>
      </c>
      <c r="U11" s="22">
        <v>34629.005870000001</v>
      </c>
      <c r="V11" s="22">
        <f t="shared" si="3"/>
        <v>100</v>
      </c>
      <c r="W11" s="18"/>
      <c r="X11" s="18"/>
      <c r="Y11" s="22">
        <f t="shared" si="4"/>
        <v>235.00140073529411</v>
      </c>
      <c r="Z11" s="22">
        <f t="shared" si="4"/>
        <v>254.62504316176472</v>
      </c>
      <c r="AA11" s="21">
        <f t="shared" si="5"/>
        <v>8.3504363655154155</v>
      </c>
      <c r="AB11" s="18">
        <v>3</v>
      </c>
      <c r="AC11" s="18">
        <v>0</v>
      </c>
      <c r="AD11" s="18"/>
      <c r="AE11" s="18"/>
      <c r="AF11" s="450"/>
      <c r="AG11" s="451"/>
      <c r="AH11" s="451"/>
      <c r="AI11" s="451"/>
    </row>
    <row r="12" spans="1:35" s="14" customFormat="1" ht="149.25" customHeight="1" x14ac:dyDescent="0.25">
      <c r="A12" s="15">
        <v>2407</v>
      </c>
      <c r="B12" s="24" t="s">
        <v>70</v>
      </c>
      <c r="C12" s="16" t="s">
        <v>41</v>
      </c>
      <c r="D12" s="17">
        <v>1</v>
      </c>
      <c r="E12" s="15" t="s">
        <v>65</v>
      </c>
      <c r="F12" s="18">
        <v>1</v>
      </c>
      <c r="G12" s="18">
        <v>1</v>
      </c>
      <c r="H12" s="19">
        <f t="shared" si="0"/>
        <v>0</v>
      </c>
      <c r="I12" s="18">
        <v>0</v>
      </c>
      <c r="J12" s="18">
        <v>0</v>
      </c>
      <c r="K12" s="18">
        <v>1</v>
      </c>
      <c r="L12" s="20">
        <f t="shared" si="1"/>
        <v>100</v>
      </c>
      <c r="M12" s="18"/>
      <c r="N12" s="18"/>
      <c r="O12" s="22">
        <v>166.39150000000001</v>
      </c>
      <c r="P12" s="22">
        <v>182.15700000000001</v>
      </c>
      <c r="Q12" s="21">
        <f t="shared" si="2"/>
        <v>9.4749431311094625</v>
      </c>
      <c r="R12" s="18">
        <v>0</v>
      </c>
      <c r="S12" s="18">
        <v>1</v>
      </c>
      <c r="T12" s="22">
        <v>182.15700000000001</v>
      </c>
      <c r="U12" s="22">
        <v>182.15700000000001</v>
      </c>
      <c r="V12" s="22">
        <f t="shared" si="3"/>
        <v>100</v>
      </c>
      <c r="W12" s="18"/>
      <c r="X12" s="18"/>
      <c r="Y12" s="22">
        <f t="shared" si="4"/>
        <v>166.39150000000001</v>
      </c>
      <c r="Z12" s="22">
        <f t="shared" si="4"/>
        <v>182.15700000000001</v>
      </c>
      <c r="AA12" s="21">
        <f t="shared" si="5"/>
        <v>9.4749431311094625</v>
      </c>
      <c r="AB12" s="18">
        <v>1</v>
      </c>
      <c r="AC12" s="18">
        <v>0</v>
      </c>
      <c r="AD12" s="18"/>
      <c r="AE12" s="18"/>
      <c r="AF12" s="450"/>
      <c r="AG12" s="451"/>
      <c r="AH12" s="451"/>
      <c r="AI12" s="451"/>
    </row>
    <row r="13" spans="1:35" s="14" customFormat="1" ht="46.5" customHeight="1" x14ac:dyDescent="0.25">
      <c r="A13" s="15">
        <v>2407</v>
      </c>
      <c r="B13" s="24" t="s">
        <v>71</v>
      </c>
      <c r="C13" s="16" t="s">
        <v>41</v>
      </c>
      <c r="D13" s="17">
        <v>2</v>
      </c>
      <c r="E13" s="15" t="s">
        <v>65</v>
      </c>
      <c r="F13" s="18">
        <v>120</v>
      </c>
      <c r="G13" s="18">
        <v>120</v>
      </c>
      <c r="H13" s="19">
        <f t="shared" si="0"/>
        <v>0</v>
      </c>
      <c r="I13" s="18">
        <v>0</v>
      </c>
      <c r="J13" s="18">
        <v>0</v>
      </c>
      <c r="K13" s="18">
        <v>120</v>
      </c>
      <c r="L13" s="20">
        <f t="shared" si="1"/>
        <v>100</v>
      </c>
      <c r="M13" s="18"/>
      <c r="N13" s="18"/>
      <c r="O13" s="22">
        <v>34759.556400000001</v>
      </c>
      <c r="P13" s="22">
        <v>38348.779920000001</v>
      </c>
      <c r="Q13" s="21">
        <f t="shared" si="2"/>
        <v>10.325861120598189</v>
      </c>
      <c r="R13" s="18">
        <v>1</v>
      </c>
      <c r="S13" s="18">
        <v>0</v>
      </c>
      <c r="T13" s="22">
        <v>38348.779920000001</v>
      </c>
      <c r="U13" s="22">
        <v>38348.779920000001</v>
      </c>
      <c r="V13" s="22">
        <f t="shared" si="3"/>
        <v>100</v>
      </c>
      <c r="W13" s="18"/>
      <c r="X13" s="18"/>
      <c r="Y13" s="22">
        <f t="shared" si="4"/>
        <v>289.66297000000003</v>
      </c>
      <c r="Z13" s="22">
        <f t="shared" si="4"/>
        <v>319.57316600000001</v>
      </c>
      <c r="AA13" s="21">
        <f t="shared" si="5"/>
        <v>10.325861120598184</v>
      </c>
      <c r="AB13" s="18">
        <v>1</v>
      </c>
      <c r="AC13" s="18">
        <v>0</v>
      </c>
      <c r="AD13" s="18"/>
      <c r="AE13" s="18"/>
      <c r="AF13" s="450"/>
      <c r="AG13" s="451"/>
      <c r="AH13" s="451"/>
      <c r="AI13" s="451"/>
    </row>
    <row r="14" spans="1:35" s="14" customFormat="1" ht="60.75" customHeight="1" x14ac:dyDescent="0.25">
      <c r="A14" s="15">
        <v>2407</v>
      </c>
      <c r="B14" s="24" t="s">
        <v>72</v>
      </c>
      <c r="C14" s="16" t="s">
        <v>41</v>
      </c>
      <c r="D14" s="17">
        <v>1</v>
      </c>
      <c r="E14" s="15" t="s">
        <v>65</v>
      </c>
      <c r="F14" s="18">
        <v>50</v>
      </c>
      <c r="G14" s="18">
        <v>50</v>
      </c>
      <c r="H14" s="19">
        <f t="shared" si="0"/>
        <v>0</v>
      </c>
      <c r="I14" s="18">
        <v>0</v>
      </c>
      <c r="J14" s="18">
        <v>0</v>
      </c>
      <c r="K14" s="18">
        <v>50</v>
      </c>
      <c r="L14" s="20">
        <f t="shared" si="1"/>
        <v>100</v>
      </c>
      <c r="M14" s="18"/>
      <c r="N14" s="18"/>
      <c r="O14" s="22">
        <v>12727.525729999999</v>
      </c>
      <c r="P14" s="22">
        <v>12954.30963</v>
      </c>
      <c r="Q14" s="21">
        <f t="shared" si="2"/>
        <v>1.7818380792226485</v>
      </c>
      <c r="R14" s="18"/>
      <c r="S14" s="18"/>
      <c r="T14" s="22">
        <v>12954.30963</v>
      </c>
      <c r="U14" s="22">
        <v>12954.30963</v>
      </c>
      <c r="V14" s="22">
        <f t="shared" si="3"/>
        <v>100</v>
      </c>
      <c r="W14" s="18"/>
      <c r="X14" s="18"/>
      <c r="Y14" s="22">
        <f t="shared" si="4"/>
        <v>254.55051459999999</v>
      </c>
      <c r="Z14" s="22">
        <f t="shared" si="4"/>
        <v>259.0861926</v>
      </c>
      <c r="AA14" s="21">
        <f t="shared" si="5"/>
        <v>1.7818380792226529</v>
      </c>
      <c r="AB14" s="18">
        <v>0</v>
      </c>
      <c r="AC14" s="18">
        <v>0</v>
      </c>
      <c r="AD14" s="18"/>
      <c r="AE14" s="18"/>
      <c r="AF14" s="450"/>
      <c r="AG14" s="451"/>
      <c r="AH14" s="451"/>
      <c r="AI14" s="451"/>
    </row>
    <row r="15" spans="1:35" s="14" customFormat="1" ht="61.5" customHeight="1" x14ac:dyDescent="0.25">
      <c r="A15" s="15">
        <v>2407</v>
      </c>
      <c r="B15" s="52" t="s">
        <v>73</v>
      </c>
      <c r="C15" s="53" t="s">
        <v>41</v>
      </c>
      <c r="D15" s="16">
        <v>9</v>
      </c>
      <c r="E15" s="15" t="s">
        <v>65</v>
      </c>
      <c r="F15" s="54">
        <f>SUM(F8:F14)</f>
        <v>1798</v>
      </c>
      <c r="G15" s="54">
        <f>SUM(G8:G14)</f>
        <v>1798</v>
      </c>
      <c r="H15" s="20">
        <f t="shared" si="0"/>
        <v>0</v>
      </c>
      <c r="I15" s="54">
        <v>0</v>
      </c>
      <c r="J15" s="54">
        <v>0</v>
      </c>
      <c r="K15" s="54">
        <f>SUM(K8:K14)</f>
        <v>1793</v>
      </c>
      <c r="L15" s="55">
        <f t="shared" si="1"/>
        <v>99.721913236929922</v>
      </c>
      <c r="M15" s="54"/>
      <c r="N15" s="54"/>
      <c r="O15" s="22">
        <v>449915.7</v>
      </c>
      <c r="P15" s="22">
        <v>480243.46</v>
      </c>
      <c r="Q15" s="56">
        <f t="shared" si="2"/>
        <v>6.7407649921974286</v>
      </c>
      <c r="R15" s="54">
        <f>SUM(R8:R14)</f>
        <v>13</v>
      </c>
      <c r="S15" s="54">
        <f>SUM(S8:S14)</f>
        <v>1</v>
      </c>
      <c r="T15" s="22">
        <v>480243.46</v>
      </c>
      <c r="U15" s="22">
        <v>480243.46</v>
      </c>
      <c r="V15" s="54">
        <f t="shared" si="3"/>
        <v>100</v>
      </c>
      <c r="W15" s="54"/>
      <c r="X15" s="54"/>
      <c r="Y15" s="22">
        <f>SUM(Y8:Y14)</f>
        <v>1698.818144104665</v>
      </c>
      <c r="Z15" s="22">
        <f>SUM(Z8:Z14)</f>
        <v>1819.883700316029</v>
      </c>
      <c r="AA15" s="20">
        <f t="shared" si="5"/>
        <v>7.1264576865683145</v>
      </c>
      <c r="AB15" s="54">
        <f>SUM(AB8:AB14)</f>
        <v>14</v>
      </c>
      <c r="AC15" s="54">
        <f>SUM(AC8:AC14)</f>
        <v>0</v>
      </c>
      <c r="AD15" s="54"/>
      <c r="AE15" s="54"/>
      <c r="AF15" s="450"/>
      <c r="AG15" s="451"/>
      <c r="AH15" s="451"/>
      <c r="AI15" s="451"/>
    </row>
    <row r="16" spans="1:35" s="14" customFormat="1" ht="72" customHeight="1" x14ac:dyDescent="0.25">
      <c r="A16" s="15">
        <v>2407</v>
      </c>
      <c r="B16" s="52" t="s">
        <v>74</v>
      </c>
      <c r="C16" s="57"/>
      <c r="D16" s="57"/>
      <c r="E16" s="57"/>
      <c r="F16" s="20"/>
      <c r="G16" s="20"/>
      <c r="H16" s="20"/>
      <c r="I16" s="20"/>
      <c r="J16" s="20"/>
      <c r="K16" s="20"/>
      <c r="L16" s="20"/>
      <c r="M16" s="20"/>
      <c r="N16" s="20"/>
      <c r="O16" s="22">
        <v>33021.4</v>
      </c>
      <c r="P16" s="22">
        <v>49117.192660000001</v>
      </c>
      <c r="Q16" s="20"/>
      <c r="R16" s="20"/>
      <c r="S16" s="20"/>
      <c r="T16" s="22">
        <v>49117.192660000001</v>
      </c>
      <c r="U16" s="22">
        <v>40805.348480000001</v>
      </c>
      <c r="V16" s="20">
        <f>U16/P16*100</f>
        <v>83.077525954025077</v>
      </c>
      <c r="W16" s="20"/>
      <c r="X16" s="20"/>
      <c r="Y16" s="20"/>
      <c r="Z16" s="20"/>
      <c r="AA16" s="20"/>
      <c r="AB16" s="20"/>
      <c r="AC16" s="20"/>
      <c r="AD16" s="22">
        <v>7667.7641700000004</v>
      </c>
      <c r="AE16" s="20"/>
      <c r="AF16" s="58"/>
      <c r="AG16" s="20"/>
      <c r="AH16" s="20"/>
      <c r="AI16" s="20"/>
    </row>
    <row r="17" spans="1:35" s="14" customFormat="1" ht="86.25" customHeight="1" x14ac:dyDescent="0.25">
      <c r="A17" s="15"/>
      <c r="B17" s="26" t="s">
        <v>75</v>
      </c>
      <c r="C17" s="29" t="s">
        <v>76</v>
      </c>
      <c r="D17" s="28">
        <v>1</v>
      </c>
      <c r="E17" s="29" t="s">
        <v>76</v>
      </c>
      <c r="F17" s="37" t="s">
        <v>76</v>
      </c>
      <c r="G17" s="37" t="s">
        <v>76</v>
      </c>
      <c r="H17" s="32" t="s">
        <v>76</v>
      </c>
      <c r="I17" s="37" t="s">
        <v>76</v>
      </c>
      <c r="J17" s="37" t="s">
        <v>76</v>
      </c>
      <c r="K17" s="37" t="s">
        <v>76</v>
      </c>
      <c r="L17" s="32" t="s">
        <v>76</v>
      </c>
      <c r="M17" s="37" t="s">
        <v>76</v>
      </c>
      <c r="N17" s="37" t="s">
        <v>76</v>
      </c>
      <c r="O17" s="38">
        <v>482937.1</v>
      </c>
      <c r="P17" s="38">
        <v>529360.65266000002</v>
      </c>
      <c r="Q17" s="32" t="s">
        <v>76</v>
      </c>
      <c r="R17" s="37" t="s">
        <v>76</v>
      </c>
      <c r="S17" s="37" t="s">
        <v>76</v>
      </c>
      <c r="T17" s="38">
        <v>529360.65266000002</v>
      </c>
      <c r="U17" s="38">
        <v>521048.80848000001</v>
      </c>
      <c r="V17" s="38">
        <f>U17/P17*100</f>
        <v>98.429833396525865</v>
      </c>
      <c r="W17" s="38" t="s">
        <v>76</v>
      </c>
      <c r="X17" s="38" t="s">
        <v>76</v>
      </c>
      <c r="Y17" s="38" t="s">
        <v>77</v>
      </c>
      <c r="Z17" s="38" t="s">
        <v>77</v>
      </c>
      <c r="AA17" s="38" t="s">
        <v>77</v>
      </c>
      <c r="AB17" s="37" t="s">
        <v>76</v>
      </c>
      <c r="AC17" s="37" t="s">
        <v>76</v>
      </c>
      <c r="AD17" s="37" t="s">
        <v>76</v>
      </c>
      <c r="AE17" s="37" t="s">
        <v>76</v>
      </c>
      <c r="AF17" s="59" t="s">
        <v>76</v>
      </c>
      <c r="AG17" s="37" t="s">
        <v>76</v>
      </c>
      <c r="AH17" s="37" t="s">
        <v>76</v>
      </c>
      <c r="AI17" s="37" t="s">
        <v>76</v>
      </c>
    </row>
    <row r="18" spans="1:35" s="14" customFormat="1" ht="198.75" customHeight="1" x14ac:dyDescent="0.25">
      <c r="A18" s="15">
        <v>2409</v>
      </c>
      <c r="B18" s="52" t="s">
        <v>78</v>
      </c>
      <c r="C18" s="53" t="s">
        <v>41</v>
      </c>
      <c r="D18" s="16">
        <v>1</v>
      </c>
      <c r="E18" s="15" t="s">
        <v>79</v>
      </c>
      <c r="F18" s="60">
        <v>5920</v>
      </c>
      <c r="G18" s="60">
        <v>5920</v>
      </c>
      <c r="H18" s="60">
        <f>(G18-F18)/F18*100</f>
        <v>0</v>
      </c>
      <c r="I18" s="60"/>
      <c r="J18" s="60"/>
      <c r="K18" s="60">
        <f>G18</f>
        <v>5920</v>
      </c>
      <c r="L18" s="60">
        <f>K18/G18*100</f>
        <v>100</v>
      </c>
      <c r="M18" s="60"/>
      <c r="N18" s="60"/>
      <c r="O18" s="61">
        <v>1530</v>
      </c>
      <c r="P18" s="61">
        <v>1530</v>
      </c>
      <c r="Q18" s="20">
        <f>(P18-O18)/O18*100</f>
        <v>0</v>
      </c>
      <c r="R18" s="60">
        <v>1</v>
      </c>
      <c r="S18" s="60"/>
      <c r="T18" s="61">
        <v>1530</v>
      </c>
      <c r="U18" s="61">
        <v>1530</v>
      </c>
      <c r="V18" s="54">
        <f>T18/P18*100</f>
        <v>100</v>
      </c>
      <c r="W18" s="60"/>
      <c r="X18" s="60"/>
      <c r="Y18" s="62">
        <f>O18/F18</f>
        <v>0.25844594594594594</v>
      </c>
      <c r="Z18" s="62">
        <f>P18/G18</f>
        <v>0.25844594594594594</v>
      </c>
      <c r="AA18" s="62">
        <f>(Z18-Y18)/Y18*100</f>
        <v>0</v>
      </c>
      <c r="AB18" s="60">
        <v>1</v>
      </c>
      <c r="AC18" s="60"/>
      <c r="AD18" s="60"/>
      <c r="AE18" s="60"/>
      <c r="AF18" s="63" t="s">
        <v>80</v>
      </c>
      <c r="AG18" s="60">
        <v>30</v>
      </c>
      <c r="AH18" s="60">
        <v>30</v>
      </c>
      <c r="AI18" s="60">
        <f>AH18/AG18*100</f>
        <v>100</v>
      </c>
    </row>
    <row r="19" spans="1:35" s="14" customFormat="1" ht="75" customHeight="1" x14ac:dyDescent="0.25">
      <c r="A19" s="15">
        <v>2409</v>
      </c>
      <c r="B19" s="52" t="s">
        <v>81</v>
      </c>
      <c r="C19" s="57"/>
      <c r="D19" s="57"/>
      <c r="E19" s="57"/>
      <c r="F19" s="31"/>
      <c r="G19" s="31"/>
      <c r="H19" s="31"/>
      <c r="I19" s="31"/>
      <c r="J19" s="31"/>
      <c r="K19" s="31"/>
      <c r="L19" s="31"/>
      <c r="M19" s="31"/>
      <c r="N19" s="31"/>
      <c r="O19" s="31">
        <v>2573.8000000000002</v>
      </c>
      <c r="P19" s="31">
        <v>2735.6559999999999</v>
      </c>
      <c r="Q19" s="31">
        <f>(P19-O19)/O19*100</f>
        <v>6.2886005128603522</v>
      </c>
      <c r="R19" s="31"/>
      <c r="S19" s="31"/>
      <c r="T19" s="31">
        <v>2735.6559999999999</v>
      </c>
      <c r="U19" s="31">
        <v>2689.3241200000002</v>
      </c>
      <c r="V19" s="31">
        <f>U19/P19*100</f>
        <v>98.306370391598946</v>
      </c>
      <c r="W19" s="31"/>
      <c r="X19" s="31"/>
      <c r="Y19" s="31"/>
      <c r="Z19" s="31"/>
      <c r="AA19" s="31"/>
      <c r="AB19" s="31"/>
      <c r="AC19" s="31"/>
      <c r="AD19" s="31">
        <v>35.861820000000002</v>
      </c>
      <c r="AE19" s="31"/>
      <c r="AF19" s="64"/>
      <c r="AG19" s="31"/>
      <c r="AH19" s="31"/>
      <c r="AI19" s="31"/>
    </row>
    <row r="20" spans="1:35" s="14" customFormat="1" ht="0.6" customHeight="1" x14ac:dyDescent="0.25">
      <c r="A20" s="15"/>
      <c r="B20" s="26" t="s">
        <v>82</v>
      </c>
      <c r="C20" s="29" t="s">
        <v>76</v>
      </c>
      <c r="D20" s="28">
        <v>1</v>
      </c>
      <c r="E20" s="29" t="s">
        <v>76</v>
      </c>
      <c r="F20" s="37" t="s">
        <v>76</v>
      </c>
      <c r="G20" s="37" t="s">
        <v>76</v>
      </c>
      <c r="H20" s="32" t="s">
        <v>76</v>
      </c>
      <c r="I20" s="37" t="s">
        <v>76</v>
      </c>
      <c r="J20" s="37" t="s">
        <v>76</v>
      </c>
      <c r="K20" s="37" t="s">
        <v>76</v>
      </c>
      <c r="L20" s="32" t="s">
        <v>76</v>
      </c>
      <c r="M20" s="37" t="s">
        <v>76</v>
      </c>
      <c r="N20" s="37" t="s">
        <v>76</v>
      </c>
      <c r="O20" s="30">
        <v>4103.8</v>
      </c>
      <c r="P20" s="30">
        <v>4265.6559999999999</v>
      </c>
      <c r="Q20" s="37" t="s">
        <v>76</v>
      </c>
      <c r="R20" s="37" t="s">
        <v>76</v>
      </c>
      <c r="S20" s="37" t="s">
        <v>76</v>
      </c>
      <c r="T20" s="30">
        <v>4265.6559999999999</v>
      </c>
      <c r="U20" s="30">
        <v>4219.3241200000002</v>
      </c>
      <c r="V20" s="30">
        <f>U20/P20*100</f>
        <v>98.913839278179026</v>
      </c>
      <c r="W20" s="38" t="s">
        <v>76</v>
      </c>
      <c r="X20" s="38" t="s">
        <v>76</v>
      </c>
      <c r="Y20" s="38" t="s">
        <v>77</v>
      </c>
      <c r="Z20" s="38" t="s">
        <v>77</v>
      </c>
      <c r="AA20" s="38" t="s">
        <v>77</v>
      </c>
      <c r="AB20" s="37" t="s">
        <v>76</v>
      </c>
      <c r="AC20" s="37" t="s">
        <v>76</v>
      </c>
      <c r="AD20" s="37" t="s">
        <v>76</v>
      </c>
      <c r="AE20" s="37" t="s">
        <v>76</v>
      </c>
      <c r="AF20" s="65" t="s">
        <v>76</v>
      </c>
      <c r="AG20" s="37" t="s">
        <v>76</v>
      </c>
      <c r="AH20" s="37" t="s">
        <v>76</v>
      </c>
      <c r="AI20" s="37" t="s">
        <v>76</v>
      </c>
    </row>
    <row r="21" spans="1:35" s="14" customFormat="1" ht="100.5" customHeight="1" x14ac:dyDescent="0.25">
      <c r="A21" s="53">
        <v>3509</v>
      </c>
      <c r="B21" s="52" t="s">
        <v>83</v>
      </c>
      <c r="C21" s="53" t="s">
        <v>41</v>
      </c>
      <c r="D21" s="16">
        <v>1</v>
      </c>
      <c r="E21" s="53" t="s">
        <v>84</v>
      </c>
      <c r="F21" s="60">
        <v>18</v>
      </c>
      <c r="G21" s="60">
        <v>18</v>
      </c>
      <c r="H21" s="60">
        <f>(G21-F21)/F21*100</f>
        <v>0</v>
      </c>
      <c r="I21" s="60"/>
      <c r="J21" s="60"/>
      <c r="K21" s="60">
        <f>G21</f>
        <v>18</v>
      </c>
      <c r="L21" s="60">
        <f>K21/G21*100</f>
        <v>100</v>
      </c>
      <c r="M21" s="60"/>
      <c r="N21" s="60"/>
      <c r="O21" s="61">
        <v>9878.7000000000007</v>
      </c>
      <c r="P21" s="61">
        <v>9878.7000000000007</v>
      </c>
      <c r="Q21" s="62">
        <f>(P21-O21)/O21*100</f>
        <v>0</v>
      </c>
      <c r="R21" s="62"/>
      <c r="S21" s="62"/>
      <c r="T21" s="61">
        <v>9878.7000000000007</v>
      </c>
      <c r="U21" s="61">
        <v>9878.7000000000007</v>
      </c>
      <c r="V21" s="56">
        <f>U21/P21*100</f>
        <v>100</v>
      </c>
      <c r="W21" s="60"/>
      <c r="X21" s="60"/>
      <c r="Y21" s="62">
        <f>O21/F21</f>
        <v>548.81666666666672</v>
      </c>
      <c r="Z21" s="62">
        <f>P21/G21</f>
        <v>548.81666666666672</v>
      </c>
      <c r="AA21" s="62">
        <f>(Z21-Y21)/Y21*100</f>
        <v>0</v>
      </c>
      <c r="AB21" s="60"/>
      <c r="AC21" s="60"/>
      <c r="AD21" s="61">
        <v>4.0000000000000001E-3</v>
      </c>
      <c r="AE21" s="60"/>
      <c r="AF21" s="63" t="s">
        <v>85</v>
      </c>
      <c r="AG21" s="60">
        <v>47</v>
      </c>
      <c r="AH21" s="60">
        <v>49</v>
      </c>
      <c r="AI21" s="66">
        <f>AH21/AG21*100</f>
        <v>104.25531914893618</v>
      </c>
    </row>
    <row r="22" spans="1:35" s="14" customFormat="1" ht="71.25" customHeight="1" x14ac:dyDescent="0.25">
      <c r="A22" s="15"/>
      <c r="B22" s="52" t="s">
        <v>86</v>
      </c>
      <c r="C22" s="57"/>
      <c r="D22" s="57"/>
      <c r="E22" s="57"/>
      <c r="F22" s="31"/>
      <c r="G22" s="31"/>
      <c r="H22" s="31"/>
      <c r="I22" s="31"/>
      <c r="J22" s="31"/>
      <c r="K22" s="31"/>
      <c r="L22" s="31"/>
      <c r="M22" s="31"/>
      <c r="N22" s="31"/>
      <c r="O22" s="31">
        <v>0</v>
      </c>
      <c r="P22" s="31">
        <v>0</v>
      </c>
      <c r="Q22" s="31">
        <v>0</v>
      </c>
      <c r="R22" s="31"/>
      <c r="S22" s="31"/>
      <c r="T22" s="31">
        <v>0</v>
      </c>
      <c r="U22" s="31">
        <v>0</v>
      </c>
      <c r="V22" s="31">
        <v>0</v>
      </c>
      <c r="W22" s="31"/>
      <c r="X22" s="31"/>
      <c r="Y22" s="31"/>
      <c r="Z22" s="31"/>
      <c r="AA22" s="31"/>
      <c r="AB22" s="31"/>
      <c r="AC22" s="31"/>
      <c r="AD22" s="31"/>
      <c r="AE22" s="31"/>
      <c r="AF22" s="64"/>
      <c r="AG22" s="31"/>
      <c r="AH22" s="31"/>
      <c r="AI22" s="31"/>
    </row>
    <row r="23" spans="1:35" s="14" customFormat="1" ht="63.75" customHeight="1" x14ac:dyDescent="0.25">
      <c r="A23" s="15"/>
      <c r="B23" s="26" t="s">
        <v>87</v>
      </c>
      <c r="C23" s="29" t="s">
        <v>76</v>
      </c>
      <c r="D23" s="28">
        <v>1</v>
      </c>
      <c r="E23" s="29" t="s">
        <v>76</v>
      </c>
      <c r="F23" s="37" t="s">
        <v>76</v>
      </c>
      <c r="G23" s="37" t="s">
        <v>76</v>
      </c>
      <c r="H23" s="32" t="s">
        <v>76</v>
      </c>
      <c r="I23" s="37" t="s">
        <v>76</v>
      </c>
      <c r="J23" s="37" t="s">
        <v>76</v>
      </c>
      <c r="K23" s="37" t="s">
        <v>76</v>
      </c>
      <c r="L23" s="32" t="s">
        <v>76</v>
      </c>
      <c r="M23" s="37" t="s">
        <v>76</v>
      </c>
      <c r="N23" s="37" t="s">
        <v>76</v>
      </c>
      <c r="O23" s="30">
        <v>9878.7000000000007</v>
      </c>
      <c r="P23" s="30">
        <v>9878.7000000000007</v>
      </c>
      <c r="Q23" s="37" t="s">
        <v>76</v>
      </c>
      <c r="R23" s="37" t="s">
        <v>76</v>
      </c>
      <c r="S23" s="37" t="s">
        <v>76</v>
      </c>
      <c r="T23" s="30">
        <v>9878.7000000000007</v>
      </c>
      <c r="U23" s="30">
        <v>9878.7000000000007</v>
      </c>
      <c r="V23" s="32">
        <f>T23/P23*100</f>
        <v>100</v>
      </c>
      <c r="W23" s="38" t="s">
        <v>76</v>
      </c>
      <c r="X23" s="38" t="s">
        <v>76</v>
      </c>
      <c r="Y23" s="38" t="s">
        <v>77</v>
      </c>
      <c r="Z23" s="38" t="s">
        <v>77</v>
      </c>
      <c r="AA23" s="38" t="s">
        <v>77</v>
      </c>
      <c r="AB23" s="37" t="s">
        <v>76</v>
      </c>
      <c r="AC23" s="37" t="s">
        <v>76</v>
      </c>
      <c r="AD23" s="37" t="s">
        <v>76</v>
      </c>
      <c r="AE23" s="37" t="s">
        <v>76</v>
      </c>
      <c r="AF23" s="59" t="s">
        <v>76</v>
      </c>
      <c r="AG23" s="37" t="s">
        <v>76</v>
      </c>
      <c r="AH23" s="37" t="s">
        <v>76</v>
      </c>
      <c r="AI23" s="37" t="s">
        <v>76</v>
      </c>
    </row>
    <row r="24" spans="1:35" s="14" customFormat="1" ht="170.25" customHeight="1" x14ac:dyDescent="0.25">
      <c r="A24" s="53">
        <v>3511</v>
      </c>
      <c r="B24" s="52" t="s">
        <v>88</v>
      </c>
      <c r="C24" s="53" t="s">
        <v>41</v>
      </c>
      <c r="D24" s="16">
        <v>1</v>
      </c>
      <c r="E24" s="53" t="s">
        <v>84</v>
      </c>
      <c r="F24" s="67">
        <v>602</v>
      </c>
      <c r="G24" s="67">
        <v>602</v>
      </c>
      <c r="H24" s="19">
        <f>(G24-F24)/F24*100</f>
        <v>0</v>
      </c>
      <c r="I24" s="54"/>
      <c r="J24" s="54"/>
      <c r="K24" s="54">
        <f>G24</f>
        <v>602</v>
      </c>
      <c r="L24" s="19">
        <f>K24/G24*100</f>
        <v>100</v>
      </c>
      <c r="M24" s="54"/>
      <c r="N24" s="54"/>
      <c r="O24" s="31">
        <v>22749.4</v>
      </c>
      <c r="P24" s="31">
        <v>25506.757000000001</v>
      </c>
      <c r="Q24" s="21">
        <f>(P24-O24)/O24*100</f>
        <v>12.120570212840777</v>
      </c>
      <c r="R24" s="68"/>
      <c r="S24" s="68"/>
      <c r="T24" s="31">
        <v>25506.757000000001</v>
      </c>
      <c r="U24" s="22">
        <v>25506.757000000001</v>
      </c>
      <c r="V24" s="56">
        <f t="shared" ref="V24:V31" si="6">U24/P24*100</f>
        <v>100</v>
      </c>
      <c r="W24" s="22"/>
      <c r="X24" s="22">
        <v>0</v>
      </c>
      <c r="Y24" s="22">
        <f>O24/F24</f>
        <v>37.789700996677745</v>
      </c>
      <c r="Z24" s="22">
        <f>P24/G24</f>
        <v>42.370028239202661</v>
      </c>
      <c r="AA24" s="22">
        <f>(Z24-Y24)/Y24*100</f>
        <v>12.120570212840775</v>
      </c>
      <c r="AB24" s="68"/>
      <c r="AC24" s="68"/>
      <c r="AD24" s="31">
        <f>T24-U24</f>
        <v>0</v>
      </c>
      <c r="AE24" s="69"/>
      <c r="AF24" s="70" t="s">
        <v>89</v>
      </c>
      <c r="AG24" s="23">
        <v>1.2</v>
      </c>
      <c r="AH24" s="23">
        <v>1.2</v>
      </c>
      <c r="AI24" s="23">
        <f>AH24/AG24*100</f>
        <v>100</v>
      </c>
    </row>
    <row r="25" spans="1:35" s="14" customFormat="1" ht="78" customHeight="1" x14ac:dyDescent="0.25">
      <c r="A25" s="53">
        <v>3511</v>
      </c>
      <c r="B25" s="52" t="s">
        <v>90</v>
      </c>
      <c r="C25" s="57"/>
      <c r="D25" s="57"/>
      <c r="E25" s="57"/>
      <c r="F25" s="20"/>
      <c r="G25" s="20"/>
      <c r="H25" s="20"/>
      <c r="I25" s="20"/>
      <c r="J25" s="20"/>
      <c r="K25" s="20"/>
      <c r="L25" s="20"/>
      <c r="M25" s="20"/>
      <c r="N25" s="20"/>
      <c r="O25" s="31">
        <v>6</v>
      </c>
      <c r="P25" s="31">
        <v>86.3</v>
      </c>
      <c r="Q25" s="21"/>
      <c r="R25" s="20"/>
      <c r="S25" s="20"/>
      <c r="T25" s="31">
        <v>86.3</v>
      </c>
      <c r="U25" s="31">
        <v>0</v>
      </c>
      <c r="V25" s="56">
        <f t="shared" si="6"/>
        <v>0</v>
      </c>
      <c r="W25" s="22"/>
      <c r="X25" s="22"/>
      <c r="Y25" s="22"/>
      <c r="Z25" s="22"/>
      <c r="AA25" s="22"/>
      <c r="AB25" s="20"/>
      <c r="AC25" s="20"/>
      <c r="AD25" s="69">
        <v>10.651009999999999</v>
      </c>
      <c r="AE25" s="69"/>
      <c r="AF25" s="71"/>
      <c r="AG25" s="69"/>
      <c r="AH25" s="69"/>
      <c r="AI25" s="72"/>
    </row>
    <row r="26" spans="1:35" s="14" customFormat="1" ht="73.5" customHeight="1" x14ac:dyDescent="0.25">
      <c r="A26" s="15"/>
      <c r="B26" s="26" t="s">
        <v>91</v>
      </c>
      <c r="C26" s="29" t="s">
        <v>76</v>
      </c>
      <c r="D26" s="28">
        <v>1</v>
      </c>
      <c r="E26" s="29" t="s">
        <v>76</v>
      </c>
      <c r="F26" s="37" t="s">
        <v>76</v>
      </c>
      <c r="G26" s="37" t="s">
        <v>76</v>
      </c>
      <c r="H26" s="32" t="s">
        <v>76</v>
      </c>
      <c r="I26" s="37" t="s">
        <v>76</v>
      </c>
      <c r="J26" s="37" t="s">
        <v>76</v>
      </c>
      <c r="K26" s="37" t="s">
        <v>76</v>
      </c>
      <c r="L26" s="32" t="s">
        <v>76</v>
      </c>
      <c r="M26" s="37" t="s">
        <v>76</v>
      </c>
      <c r="N26" s="37" t="s">
        <v>76</v>
      </c>
      <c r="O26" s="30">
        <v>22755.4</v>
      </c>
      <c r="P26" s="30">
        <v>25593.057000000001</v>
      </c>
      <c r="Q26" s="37" t="s">
        <v>76</v>
      </c>
      <c r="R26" s="37" t="s">
        <v>76</v>
      </c>
      <c r="S26" s="37" t="s">
        <v>76</v>
      </c>
      <c r="T26" s="30">
        <v>25593.057000000001</v>
      </c>
      <c r="U26" s="38">
        <v>25506.757000000001</v>
      </c>
      <c r="V26" s="38">
        <f t="shared" si="6"/>
        <v>99.662799172447436</v>
      </c>
      <c r="W26" s="38" t="s">
        <v>76</v>
      </c>
      <c r="X26" s="38" t="s">
        <v>76</v>
      </c>
      <c r="Y26" s="38" t="s">
        <v>77</v>
      </c>
      <c r="Z26" s="38" t="s">
        <v>77</v>
      </c>
      <c r="AA26" s="38" t="s">
        <v>77</v>
      </c>
      <c r="AB26" s="37" t="s">
        <v>76</v>
      </c>
      <c r="AC26" s="37" t="s">
        <v>76</v>
      </c>
      <c r="AD26" s="37" t="s">
        <v>76</v>
      </c>
      <c r="AE26" s="37" t="s">
        <v>76</v>
      </c>
      <c r="AF26" s="59" t="s">
        <v>76</v>
      </c>
      <c r="AG26" s="37" t="s">
        <v>76</v>
      </c>
      <c r="AH26" s="37" t="s">
        <v>76</v>
      </c>
      <c r="AI26" s="37" t="s">
        <v>76</v>
      </c>
    </row>
    <row r="27" spans="1:35" s="14" customFormat="1" ht="188.25" customHeight="1" x14ac:dyDescent="0.25">
      <c r="A27" s="53">
        <v>3514</v>
      </c>
      <c r="B27" s="52" t="s">
        <v>92</v>
      </c>
      <c r="C27" s="53" t="s">
        <v>41</v>
      </c>
      <c r="D27" s="16">
        <v>1</v>
      </c>
      <c r="E27" s="53" t="s">
        <v>93</v>
      </c>
      <c r="F27" s="67">
        <v>4000</v>
      </c>
      <c r="G27" s="67">
        <v>4000</v>
      </c>
      <c r="H27" s="19">
        <f>(G27-F27)/F27*100</f>
        <v>0</v>
      </c>
      <c r="I27" s="54"/>
      <c r="J27" s="54"/>
      <c r="K27" s="54">
        <f>G27</f>
        <v>4000</v>
      </c>
      <c r="L27" s="19">
        <f>K27/G27*100</f>
        <v>100</v>
      </c>
      <c r="M27" s="54"/>
      <c r="N27" s="54"/>
      <c r="O27" s="31">
        <v>900</v>
      </c>
      <c r="P27" s="31">
        <v>900</v>
      </c>
      <c r="Q27" s="21">
        <f>(P27-O27)/O27*100</f>
        <v>0</v>
      </c>
      <c r="R27" s="68"/>
      <c r="S27" s="68"/>
      <c r="T27" s="31">
        <v>900</v>
      </c>
      <c r="U27" s="22">
        <v>900</v>
      </c>
      <c r="V27" s="56">
        <f t="shared" si="6"/>
        <v>100</v>
      </c>
      <c r="W27" s="22"/>
      <c r="X27" s="22">
        <v>0</v>
      </c>
      <c r="Y27" s="22">
        <f>O27/F27</f>
        <v>0.22500000000000001</v>
      </c>
      <c r="Z27" s="22">
        <f>P27/G27</f>
        <v>0.22500000000000001</v>
      </c>
      <c r="AA27" s="22">
        <f>(Z27-Y27)/Y27*100</f>
        <v>0</v>
      </c>
      <c r="AB27" s="68"/>
      <c r="AC27" s="68"/>
      <c r="AD27" s="31">
        <f>T27-U27</f>
        <v>0</v>
      </c>
      <c r="AE27" s="69"/>
      <c r="AF27" s="70" t="s">
        <v>89</v>
      </c>
      <c r="AG27" s="23">
        <v>1.2</v>
      </c>
      <c r="AH27" s="23">
        <v>1.2</v>
      </c>
      <c r="AI27" s="23">
        <f>AH27/AG27*100</f>
        <v>100</v>
      </c>
    </row>
    <row r="28" spans="1:35" s="14" customFormat="1" ht="0.6" customHeight="1" x14ac:dyDescent="0.25">
      <c r="A28" s="15"/>
      <c r="B28" s="26" t="s">
        <v>94</v>
      </c>
      <c r="C28" s="29" t="s">
        <v>76</v>
      </c>
      <c r="D28" s="28">
        <v>1</v>
      </c>
      <c r="E28" s="29" t="s">
        <v>76</v>
      </c>
      <c r="F28" s="37" t="s">
        <v>76</v>
      </c>
      <c r="G28" s="37" t="s">
        <v>76</v>
      </c>
      <c r="H28" s="32" t="s">
        <v>76</v>
      </c>
      <c r="I28" s="37" t="s">
        <v>76</v>
      </c>
      <c r="J28" s="37" t="s">
        <v>76</v>
      </c>
      <c r="K28" s="37" t="s">
        <v>76</v>
      </c>
      <c r="L28" s="32" t="s">
        <v>76</v>
      </c>
      <c r="M28" s="37" t="s">
        <v>76</v>
      </c>
      <c r="N28" s="37" t="s">
        <v>76</v>
      </c>
      <c r="O28" s="30">
        <v>900</v>
      </c>
      <c r="P28" s="30">
        <v>900</v>
      </c>
      <c r="Q28" s="37" t="s">
        <v>76</v>
      </c>
      <c r="R28" s="37" t="s">
        <v>76</v>
      </c>
      <c r="S28" s="37" t="s">
        <v>76</v>
      </c>
      <c r="T28" s="30">
        <v>900</v>
      </c>
      <c r="U28" s="38">
        <v>900</v>
      </c>
      <c r="V28" s="38">
        <f t="shared" si="6"/>
        <v>100</v>
      </c>
      <c r="W28" s="38" t="s">
        <v>76</v>
      </c>
      <c r="X28" s="38" t="s">
        <v>76</v>
      </c>
      <c r="Y28" s="38" t="s">
        <v>77</v>
      </c>
      <c r="Z28" s="38" t="s">
        <v>77</v>
      </c>
      <c r="AA28" s="38" t="s">
        <v>77</v>
      </c>
      <c r="AB28" s="37" t="s">
        <v>76</v>
      </c>
      <c r="AC28" s="37" t="s">
        <v>76</v>
      </c>
      <c r="AD28" s="37" t="s">
        <v>76</v>
      </c>
      <c r="AE28" s="37" t="s">
        <v>76</v>
      </c>
      <c r="AF28" s="65" t="s">
        <v>76</v>
      </c>
      <c r="AG28" s="37" t="s">
        <v>76</v>
      </c>
      <c r="AH28" s="37" t="s">
        <v>76</v>
      </c>
      <c r="AI28" s="37" t="s">
        <v>76</v>
      </c>
    </row>
    <row r="29" spans="1:35" s="14" customFormat="1" ht="120.75" customHeight="1" x14ac:dyDescent="0.25">
      <c r="A29" s="53">
        <v>3504</v>
      </c>
      <c r="B29" s="52" t="s">
        <v>95</v>
      </c>
      <c r="C29" s="57" t="s">
        <v>41</v>
      </c>
      <c r="D29" s="57">
        <v>3</v>
      </c>
      <c r="E29" s="73" t="s">
        <v>84</v>
      </c>
      <c r="F29" s="74">
        <v>206</v>
      </c>
      <c r="G29" s="75">
        <v>170</v>
      </c>
      <c r="H29" s="19">
        <f>(G29-F29)/F29*100</f>
        <v>-17.475728155339805</v>
      </c>
      <c r="I29" s="20">
        <v>1</v>
      </c>
      <c r="J29" s="20"/>
      <c r="K29" s="75">
        <v>170</v>
      </c>
      <c r="L29" s="20">
        <f>K29/G29*100</f>
        <v>100</v>
      </c>
      <c r="M29" s="20"/>
      <c r="N29" s="20"/>
      <c r="O29" s="22">
        <v>161948.29999999999</v>
      </c>
      <c r="P29" s="22">
        <v>67475.442999999999</v>
      </c>
      <c r="Q29" s="21">
        <f>(P29-O29)/O29*100</f>
        <v>-58.335195244408247</v>
      </c>
      <c r="R29" s="20">
        <v>3</v>
      </c>
      <c r="S29" s="20"/>
      <c r="T29" s="22">
        <v>67475.442999999999</v>
      </c>
      <c r="U29" s="22">
        <v>67475.442999999999</v>
      </c>
      <c r="V29" s="56">
        <f t="shared" si="6"/>
        <v>100</v>
      </c>
      <c r="W29" s="22"/>
      <c r="X29" s="22"/>
      <c r="Y29" s="22">
        <f t="shared" ref="Y29:Z31" si="7">O29/F29</f>
        <v>786.15679611650478</v>
      </c>
      <c r="Z29" s="22">
        <f t="shared" si="7"/>
        <v>396.91437058823527</v>
      </c>
      <c r="AA29" s="22">
        <f>(Z29-Y29)/Y29*100</f>
        <v>-49.512060119694695</v>
      </c>
      <c r="AB29" s="20">
        <v>1</v>
      </c>
      <c r="AC29" s="20"/>
      <c r="AD29" s="69">
        <v>16.507439999997601</v>
      </c>
      <c r="AE29" s="69"/>
      <c r="AF29" s="76" t="s">
        <v>96</v>
      </c>
      <c r="AG29" s="69">
        <v>7.2</v>
      </c>
      <c r="AH29" s="69">
        <v>7.2</v>
      </c>
      <c r="AI29" s="69">
        <f>AH29/AG29*100</f>
        <v>100</v>
      </c>
    </row>
    <row r="30" spans="1:35" s="14" customFormat="1" ht="129.75" customHeight="1" x14ac:dyDescent="0.25">
      <c r="A30" s="53">
        <v>3504</v>
      </c>
      <c r="B30" s="52" t="s">
        <v>97</v>
      </c>
      <c r="C30" s="57" t="s">
        <v>41</v>
      </c>
      <c r="D30" s="57">
        <v>1</v>
      </c>
      <c r="E30" s="73" t="s">
        <v>98</v>
      </c>
      <c r="F30" s="74">
        <v>100</v>
      </c>
      <c r="G30" s="75">
        <v>100</v>
      </c>
      <c r="H30" s="19">
        <f>(G30-F30)/F30*100</f>
        <v>0</v>
      </c>
      <c r="I30" s="20"/>
      <c r="J30" s="20"/>
      <c r="K30" s="75">
        <f>G30</f>
        <v>100</v>
      </c>
      <c r="L30" s="20">
        <f>K30/G30*100</f>
        <v>100</v>
      </c>
      <c r="M30" s="20"/>
      <c r="N30" s="20"/>
      <c r="O30" s="22">
        <v>83963.741999999998</v>
      </c>
      <c r="P30" s="22">
        <v>94834.126130000004</v>
      </c>
      <c r="Q30" s="21">
        <f>(P30-O30)/O30*100</f>
        <v>12.946521761738545</v>
      </c>
      <c r="R30" s="20">
        <v>1</v>
      </c>
      <c r="S30" s="20"/>
      <c r="T30" s="22">
        <v>94834.126130000004</v>
      </c>
      <c r="U30" s="22">
        <v>94834.126130000004</v>
      </c>
      <c r="V30" s="56">
        <f t="shared" si="6"/>
        <v>100</v>
      </c>
      <c r="W30" s="22"/>
      <c r="X30" s="22"/>
      <c r="Y30" s="22">
        <f t="shared" si="7"/>
        <v>839.63742000000002</v>
      </c>
      <c r="Z30" s="22">
        <f t="shared" si="7"/>
        <v>948.34126130000004</v>
      </c>
      <c r="AA30" s="22">
        <f>(Z30-Y30)/Y30*100</f>
        <v>12.946521761738538</v>
      </c>
      <c r="AB30" s="20">
        <v>1</v>
      </c>
      <c r="AC30" s="20"/>
      <c r="AD30" s="69">
        <v>0</v>
      </c>
      <c r="AE30" s="69"/>
      <c r="AF30" s="76" t="s">
        <v>96</v>
      </c>
      <c r="AG30" s="69">
        <v>7.2</v>
      </c>
      <c r="AH30" s="69">
        <v>7.2</v>
      </c>
      <c r="AI30" s="69">
        <f>AH30/AG30*100</f>
        <v>100</v>
      </c>
    </row>
    <row r="31" spans="1:35" s="14" customFormat="1" ht="140.25" customHeight="1" x14ac:dyDescent="0.25">
      <c r="A31" s="53">
        <v>3504</v>
      </c>
      <c r="B31" s="52" t="s">
        <v>99</v>
      </c>
      <c r="C31" s="57" t="s">
        <v>41</v>
      </c>
      <c r="D31" s="57">
        <v>1</v>
      </c>
      <c r="E31" s="73" t="s">
        <v>100</v>
      </c>
      <c r="F31" s="75">
        <v>14</v>
      </c>
      <c r="G31" s="75">
        <v>14</v>
      </c>
      <c r="H31" s="19">
        <f>(G31-F31)/F31*100</f>
        <v>0</v>
      </c>
      <c r="I31" s="20"/>
      <c r="J31" s="20"/>
      <c r="K31" s="75">
        <f>G31</f>
        <v>14</v>
      </c>
      <c r="L31" s="20">
        <f>K31/G31*100</f>
        <v>100</v>
      </c>
      <c r="M31" s="20"/>
      <c r="N31" s="20"/>
      <c r="O31" s="22">
        <v>11754.157999999999</v>
      </c>
      <c r="P31" s="22">
        <v>13275.912780000001</v>
      </c>
      <c r="Q31" s="21">
        <f>(P31-O31)/O31*100</f>
        <v>12.946523094210585</v>
      </c>
      <c r="R31" s="20">
        <v>1</v>
      </c>
      <c r="S31" s="20"/>
      <c r="T31" s="22">
        <v>13275.912780000001</v>
      </c>
      <c r="U31" s="22">
        <v>13275.912780000001</v>
      </c>
      <c r="V31" s="56">
        <f t="shared" si="6"/>
        <v>100</v>
      </c>
      <c r="W31" s="22"/>
      <c r="X31" s="22"/>
      <c r="Y31" s="22">
        <f t="shared" si="7"/>
        <v>839.58271428571425</v>
      </c>
      <c r="Z31" s="22">
        <f t="shared" si="7"/>
        <v>948.27948428571437</v>
      </c>
      <c r="AA31" s="22">
        <f>(Z31-Y31)/Y31*100</f>
        <v>12.946523094210594</v>
      </c>
      <c r="AB31" s="20">
        <v>1</v>
      </c>
      <c r="AC31" s="20"/>
      <c r="AD31" s="69">
        <v>0</v>
      </c>
      <c r="AE31" s="69"/>
      <c r="AF31" s="76" t="s">
        <v>96</v>
      </c>
      <c r="AG31" s="69">
        <v>7.2</v>
      </c>
      <c r="AH31" s="69">
        <v>7.2</v>
      </c>
      <c r="AI31" s="69">
        <f>AH31/AG31*100</f>
        <v>100</v>
      </c>
    </row>
    <row r="32" spans="1:35" s="14" customFormat="1" ht="114.75" customHeight="1" x14ac:dyDescent="0.25">
      <c r="A32" s="15"/>
      <c r="B32" s="52" t="s">
        <v>101</v>
      </c>
      <c r="C32" s="53"/>
      <c r="D32" s="16">
        <v>3</v>
      </c>
      <c r="E32" s="16"/>
      <c r="F32" s="20"/>
      <c r="G32" s="20"/>
      <c r="H32" s="20"/>
      <c r="I32" s="20"/>
      <c r="J32" s="20"/>
      <c r="K32" s="20"/>
      <c r="L32" s="20"/>
      <c r="M32" s="20"/>
      <c r="N32" s="20"/>
      <c r="O32" s="19">
        <v>257666.2</v>
      </c>
      <c r="P32" s="19">
        <v>175585.48191</v>
      </c>
      <c r="Q32" s="23">
        <f>((P32-O32)/O32*100)</f>
        <v>-31.855446344922235</v>
      </c>
      <c r="R32" s="20"/>
      <c r="S32" s="20"/>
      <c r="T32" s="19">
        <v>175585.48191</v>
      </c>
      <c r="U32" s="61">
        <v>175585.48191</v>
      </c>
      <c r="V32" s="61">
        <f>T32/P32*100</f>
        <v>100</v>
      </c>
      <c r="W32" s="22"/>
      <c r="X32" s="22"/>
      <c r="Y32" s="22"/>
      <c r="Z32" s="22"/>
      <c r="AA32" s="22"/>
      <c r="AB32" s="20">
        <v>2</v>
      </c>
      <c r="AC32" s="20"/>
      <c r="AD32" s="31">
        <v>16.507439999997601</v>
      </c>
      <c r="AE32" s="69"/>
      <c r="AF32" s="76" t="s">
        <v>96</v>
      </c>
      <c r="AG32" s="69">
        <v>7.2</v>
      </c>
      <c r="AH32" s="69">
        <v>7.2</v>
      </c>
      <c r="AI32" s="69">
        <f>AH32/AG32*100</f>
        <v>100</v>
      </c>
    </row>
    <row r="33" spans="1:35" s="14" customFormat="1" ht="117" customHeight="1" x14ac:dyDescent="0.25">
      <c r="A33" s="15"/>
      <c r="B33" s="52" t="s">
        <v>102</v>
      </c>
      <c r="C33" s="53"/>
      <c r="D33" s="16"/>
      <c r="E33" s="53"/>
      <c r="F33" s="20"/>
      <c r="G33" s="20"/>
      <c r="H33" s="20"/>
      <c r="I33" s="20"/>
      <c r="J33" s="20"/>
      <c r="K33" s="20"/>
      <c r="L33" s="20"/>
      <c r="M33" s="20"/>
      <c r="N33" s="20"/>
      <c r="O33" s="31">
        <v>56700</v>
      </c>
      <c r="P33" s="31">
        <v>48822</v>
      </c>
      <c r="Q33" s="23">
        <f>((P33-O33)/O33*100)</f>
        <v>-13.894179894179896</v>
      </c>
      <c r="R33" s="20"/>
      <c r="S33" s="20"/>
      <c r="T33" s="31">
        <v>48822</v>
      </c>
      <c r="U33" s="22">
        <v>43638.865380000003</v>
      </c>
      <c r="V33" s="22">
        <f t="shared" ref="V33:V50" si="8">U33/P33*100</f>
        <v>89.383608578100038</v>
      </c>
      <c r="W33" s="22"/>
      <c r="X33" s="22"/>
      <c r="Y33" s="22"/>
      <c r="Z33" s="22"/>
      <c r="AA33" s="22"/>
      <c r="AB33" s="20"/>
      <c r="AC33" s="20"/>
      <c r="AD33" s="69">
        <v>6055.4174400000002</v>
      </c>
      <c r="AE33" s="69"/>
      <c r="AF33" s="71"/>
      <c r="AG33" s="69"/>
      <c r="AH33" s="69"/>
      <c r="AI33" s="69"/>
    </row>
    <row r="34" spans="1:35" ht="0.6" customHeight="1" x14ac:dyDescent="0.25">
      <c r="A34" s="15"/>
      <c r="B34" s="26" t="s">
        <v>103</v>
      </c>
      <c r="C34" s="29" t="s">
        <v>76</v>
      </c>
      <c r="D34" s="28">
        <f>D32</f>
        <v>3</v>
      </c>
      <c r="E34" s="29" t="s">
        <v>76</v>
      </c>
      <c r="F34" s="30" t="s">
        <v>76</v>
      </c>
      <c r="G34" s="30" t="s">
        <v>76</v>
      </c>
      <c r="H34" s="30" t="s">
        <v>76</v>
      </c>
      <c r="I34" s="30" t="s">
        <v>76</v>
      </c>
      <c r="J34" s="30" t="s">
        <v>76</v>
      </c>
      <c r="K34" s="30" t="s">
        <v>76</v>
      </c>
      <c r="L34" s="30" t="s">
        <v>76</v>
      </c>
      <c r="M34" s="30" t="s">
        <v>76</v>
      </c>
      <c r="N34" s="30" t="s">
        <v>76</v>
      </c>
      <c r="O34" s="30">
        <v>314366.2</v>
      </c>
      <c r="P34" s="30">
        <v>224407.48191</v>
      </c>
      <c r="Q34" s="30" t="s">
        <v>76</v>
      </c>
      <c r="R34" s="30" t="s">
        <v>76</v>
      </c>
      <c r="S34" s="30" t="s">
        <v>76</v>
      </c>
      <c r="T34" s="30">
        <v>224407.48191</v>
      </c>
      <c r="U34" s="38">
        <v>219224.34729000001</v>
      </c>
      <c r="V34" s="38">
        <f t="shared" si="8"/>
        <v>97.690302223488828</v>
      </c>
      <c r="W34" s="38" t="s">
        <v>76</v>
      </c>
      <c r="X34" s="38" t="s">
        <v>76</v>
      </c>
      <c r="Y34" s="38" t="s">
        <v>77</v>
      </c>
      <c r="Z34" s="38" t="s">
        <v>77</v>
      </c>
      <c r="AA34" s="38" t="s">
        <v>77</v>
      </c>
      <c r="AB34" s="30" t="s">
        <v>76</v>
      </c>
      <c r="AC34" s="30" t="s">
        <v>76</v>
      </c>
      <c r="AD34" s="30" t="s">
        <v>77</v>
      </c>
      <c r="AE34" s="30" t="s">
        <v>77</v>
      </c>
      <c r="AF34" s="77" t="s">
        <v>77</v>
      </c>
      <c r="AG34" s="30" t="s">
        <v>77</v>
      </c>
      <c r="AH34" s="30" t="s">
        <v>77</v>
      </c>
      <c r="AI34" s="30" t="s">
        <v>77</v>
      </c>
    </row>
    <row r="35" spans="1:35" s="78" customFormat="1" ht="191.25" customHeight="1" x14ac:dyDescent="0.25">
      <c r="A35" s="53">
        <v>3422</v>
      </c>
      <c r="B35" s="52" t="s">
        <v>104</v>
      </c>
      <c r="C35" s="53" t="s">
        <v>41</v>
      </c>
      <c r="D35" s="16">
        <v>1</v>
      </c>
      <c r="E35" s="53" t="s">
        <v>105</v>
      </c>
      <c r="F35" s="54">
        <v>14</v>
      </c>
      <c r="G35" s="54">
        <v>14</v>
      </c>
      <c r="H35" s="19">
        <f>(G35-F35)/F35*100</f>
        <v>0</v>
      </c>
      <c r="I35" s="54"/>
      <c r="J35" s="54"/>
      <c r="K35" s="54">
        <f>G35</f>
        <v>14</v>
      </c>
      <c r="L35" s="19">
        <f>K35/G35*100</f>
        <v>100</v>
      </c>
      <c r="M35" s="54"/>
      <c r="N35" s="54"/>
      <c r="O35" s="31">
        <v>13931.4</v>
      </c>
      <c r="P35" s="31">
        <v>19431.400000000001</v>
      </c>
      <c r="Q35" s="21">
        <f>(P35-O35)/O35*100</f>
        <v>39.479162180398255</v>
      </c>
      <c r="R35" s="68">
        <v>1</v>
      </c>
      <c r="S35" s="68"/>
      <c r="T35" s="31">
        <v>19431.400000000001</v>
      </c>
      <c r="U35" s="31">
        <v>18369.132959999999</v>
      </c>
      <c r="V35" s="56">
        <f t="shared" si="8"/>
        <v>94.53324495404344</v>
      </c>
      <c r="W35" s="22"/>
      <c r="X35" s="22"/>
      <c r="Y35" s="22">
        <f>O35/F35</f>
        <v>995.1</v>
      </c>
      <c r="Z35" s="22">
        <f>P35/G35</f>
        <v>1387.957142857143</v>
      </c>
      <c r="AA35" s="22">
        <f>(Z35-Y35)/Y35*100</f>
        <v>39.479162180398255</v>
      </c>
      <c r="AB35" s="68">
        <v>1</v>
      </c>
      <c r="AC35" s="68"/>
      <c r="AD35" s="31"/>
      <c r="AE35" s="69"/>
      <c r="AF35" s="70" t="s">
        <v>106</v>
      </c>
      <c r="AG35" s="23">
        <v>1.2</v>
      </c>
      <c r="AH35" s="23">
        <v>1.2</v>
      </c>
      <c r="AI35" s="23">
        <f>AH35/AG35*100</f>
        <v>100</v>
      </c>
    </row>
    <row r="36" spans="1:35" s="78" customFormat="1" ht="78.75" customHeight="1" x14ac:dyDescent="0.25">
      <c r="A36" s="53"/>
      <c r="B36" s="52" t="s">
        <v>107</v>
      </c>
      <c r="C36" s="57"/>
      <c r="D36" s="57"/>
      <c r="E36" s="57"/>
      <c r="F36" s="20"/>
      <c r="G36" s="20"/>
      <c r="H36" s="20"/>
      <c r="I36" s="20"/>
      <c r="J36" s="20"/>
      <c r="K36" s="20"/>
      <c r="L36" s="20"/>
      <c r="M36" s="20"/>
      <c r="N36" s="20"/>
      <c r="O36" s="31">
        <v>2415</v>
      </c>
      <c r="P36" s="31">
        <v>2415</v>
      </c>
      <c r="Q36" s="21"/>
      <c r="R36" s="20"/>
      <c r="S36" s="20"/>
      <c r="T36" s="31">
        <v>2415</v>
      </c>
      <c r="U36" s="31">
        <v>59.704999999999998</v>
      </c>
      <c r="V36" s="56">
        <f t="shared" si="8"/>
        <v>2.472256728778468</v>
      </c>
      <c r="W36" s="22"/>
      <c r="X36" s="22"/>
      <c r="Y36" s="22"/>
      <c r="Z36" s="22"/>
      <c r="AA36" s="22"/>
      <c r="AB36" s="20"/>
      <c r="AC36" s="20"/>
      <c r="AD36" s="69">
        <v>336.94027999999997</v>
      </c>
      <c r="AE36" s="69"/>
      <c r="AF36" s="71"/>
      <c r="AG36" s="69"/>
      <c r="AH36" s="69"/>
      <c r="AI36" s="72"/>
    </row>
    <row r="37" spans="1:35" s="78" customFormat="1" ht="42.75" x14ac:dyDescent="0.25">
      <c r="A37" s="53"/>
      <c r="B37" s="26" t="s">
        <v>108</v>
      </c>
      <c r="C37" s="29" t="s">
        <v>76</v>
      </c>
      <c r="D37" s="28">
        <v>1</v>
      </c>
      <c r="E37" s="29" t="s">
        <v>76</v>
      </c>
      <c r="F37" s="37" t="s">
        <v>76</v>
      </c>
      <c r="G37" s="37" t="s">
        <v>76</v>
      </c>
      <c r="H37" s="32" t="s">
        <v>76</v>
      </c>
      <c r="I37" s="37" t="s">
        <v>76</v>
      </c>
      <c r="J37" s="37" t="s">
        <v>76</v>
      </c>
      <c r="K37" s="37" t="s">
        <v>76</v>
      </c>
      <c r="L37" s="32" t="s">
        <v>76</v>
      </c>
      <c r="M37" s="37" t="s">
        <v>76</v>
      </c>
      <c r="N37" s="37" t="s">
        <v>76</v>
      </c>
      <c r="O37" s="30">
        <v>16346.4</v>
      </c>
      <c r="P37" s="30">
        <v>21846.400000000001</v>
      </c>
      <c r="Q37" s="37" t="s">
        <v>76</v>
      </c>
      <c r="R37" s="37" t="s">
        <v>76</v>
      </c>
      <c r="S37" s="37" t="s">
        <v>76</v>
      </c>
      <c r="T37" s="30">
        <v>21846.400000000001</v>
      </c>
      <c r="U37" s="38">
        <v>18428.837960000001</v>
      </c>
      <c r="V37" s="56">
        <f t="shared" si="8"/>
        <v>84.35640636443533</v>
      </c>
      <c r="W37" s="38" t="s">
        <v>76</v>
      </c>
      <c r="X37" s="38" t="s">
        <v>76</v>
      </c>
      <c r="Y37" s="38" t="s">
        <v>77</v>
      </c>
      <c r="Z37" s="38" t="s">
        <v>77</v>
      </c>
      <c r="AA37" s="38" t="s">
        <v>77</v>
      </c>
      <c r="AB37" s="37" t="s">
        <v>76</v>
      </c>
      <c r="AC37" s="37" t="s">
        <v>76</v>
      </c>
      <c r="AD37" s="37" t="s">
        <v>76</v>
      </c>
      <c r="AE37" s="37" t="s">
        <v>76</v>
      </c>
      <c r="AF37" s="59" t="s">
        <v>76</v>
      </c>
      <c r="AG37" s="37" t="s">
        <v>76</v>
      </c>
      <c r="AH37" s="37" t="s">
        <v>76</v>
      </c>
      <c r="AI37" s="37" t="s">
        <v>76</v>
      </c>
    </row>
    <row r="38" spans="1:35" s="78" customFormat="1" ht="192" customHeight="1" x14ac:dyDescent="0.25">
      <c r="A38" s="53">
        <v>3512</v>
      </c>
      <c r="B38" s="52" t="s">
        <v>109</v>
      </c>
      <c r="C38" s="57" t="s">
        <v>41</v>
      </c>
      <c r="D38" s="57">
        <v>1</v>
      </c>
      <c r="E38" s="73" t="s">
        <v>110</v>
      </c>
      <c r="F38" s="74">
        <v>450</v>
      </c>
      <c r="G38" s="75">
        <v>450</v>
      </c>
      <c r="H38" s="19">
        <f>(G38-F38)/F38*100</f>
        <v>0</v>
      </c>
      <c r="I38" s="20"/>
      <c r="J38" s="20"/>
      <c r="K38" s="75">
        <f>G38</f>
        <v>450</v>
      </c>
      <c r="L38" s="20">
        <f>K38/G38*100</f>
        <v>100</v>
      </c>
      <c r="M38" s="20"/>
      <c r="N38" s="20"/>
      <c r="O38" s="22">
        <v>4960.5</v>
      </c>
      <c r="P38" s="22">
        <v>4960.5</v>
      </c>
      <c r="Q38" s="21">
        <f>(P38-O38)/O38*100</f>
        <v>0</v>
      </c>
      <c r="R38" s="20">
        <v>1</v>
      </c>
      <c r="S38" s="20"/>
      <c r="T38" s="22">
        <v>4960.5</v>
      </c>
      <c r="U38" s="22">
        <v>4935.0412200000001</v>
      </c>
      <c r="V38" s="56">
        <f t="shared" si="8"/>
        <v>99.486769882068344</v>
      </c>
      <c r="W38" s="22"/>
      <c r="X38" s="22"/>
      <c r="Y38" s="22">
        <f>O38/F38</f>
        <v>11.023333333333333</v>
      </c>
      <c r="Z38" s="22">
        <f>P38/G38</f>
        <v>11.023333333333333</v>
      </c>
      <c r="AA38" s="22">
        <f>(Z38-Y38)/Y38*100</f>
        <v>0</v>
      </c>
      <c r="AB38" s="20">
        <v>1</v>
      </c>
      <c r="AC38" s="20"/>
      <c r="AD38" s="69">
        <v>998.45980999999904</v>
      </c>
      <c r="AE38" s="79"/>
      <c r="AF38" s="76" t="s">
        <v>111</v>
      </c>
      <c r="AG38" s="69">
        <v>71</v>
      </c>
      <c r="AH38" s="69">
        <v>71</v>
      </c>
      <c r="AI38" s="69">
        <v>100</v>
      </c>
    </row>
    <row r="39" spans="1:35" s="78" customFormat="1" ht="63.75" customHeight="1" x14ac:dyDescent="0.25">
      <c r="A39" s="53"/>
      <c r="B39" s="52" t="s">
        <v>112</v>
      </c>
      <c r="C39" s="53"/>
      <c r="D39" s="16">
        <v>1</v>
      </c>
      <c r="E39" s="16"/>
      <c r="F39" s="20"/>
      <c r="G39" s="20"/>
      <c r="H39" s="20"/>
      <c r="I39" s="20"/>
      <c r="J39" s="20"/>
      <c r="K39" s="20"/>
      <c r="L39" s="20"/>
      <c r="M39" s="20"/>
      <c r="N39" s="20"/>
      <c r="O39" s="19">
        <v>4960.5</v>
      </c>
      <c r="P39" s="19">
        <v>4960.5</v>
      </c>
      <c r="Q39" s="23">
        <f>((P39-O39)/O39*100)</f>
        <v>0</v>
      </c>
      <c r="R39" s="20"/>
      <c r="S39" s="20"/>
      <c r="T39" s="19">
        <v>4960.5</v>
      </c>
      <c r="U39" s="61">
        <v>4935.0412200000001</v>
      </c>
      <c r="V39" s="56">
        <f t="shared" si="8"/>
        <v>99.486769882068344</v>
      </c>
      <c r="W39" s="22"/>
      <c r="X39" s="22"/>
      <c r="Y39" s="22"/>
      <c r="Z39" s="22"/>
      <c r="AA39" s="22"/>
      <c r="AB39" s="20">
        <v>2</v>
      </c>
      <c r="AC39" s="20"/>
      <c r="AD39" s="31">
        <f>AD38+AD42</f>
        <v>1194.8208899999991</v>
      </c>
      <c r="AE39" s="31"/>
      <c r="AF39" s="76"/>
      <c r="AG39" s="69"/>
      <c r="AH39" s="69"/>
      <c r="AI39" s="69"/>
    </row>
    <row r="40" spans="1:35" s="78" customFormat="1" ht="86.45" customHeight="1" x14ac:dyDescent="0.25">
      <c r="A40" s="53"/>
      <c r="B40" s="52" t="s">
        <v>113</v>
      </c>
      <c r="C40" s="53"/>
      <c r="D40" s="16"/>
      <c r="E40" s="53"/>
      <c r="F40" s="20"/>
      <c r="G40" s="20"/>
      <c r="H40" s="20"/>
      <c r="I40" s="20"/>
      <c r="J40" s="20"/>
      <c r="K40" s="20"/>
      <c r="L40" s="20"/>
      <c r="M40" s="20"/>
      <c r="N40" s="20"/>
      <c r="O40" s="31">
        <v>5200</v>
      </c>
      <c r="P40" s="31">
        <v>12160</v>
      </c>
      <c r="Q40" s="23">
        <f>((P40-O40)/O40*100)</f>
        <v>133.84615384615384</v>
      </c>
      <c r="R40" s="20"/>
      <c r="S40" s="20"/>
      <c r="T40" s="31">
        <v>12160</v>
      </c>
      <c r="U40" s="22">
        <v>10829.07451</v>
      </c>
      <c r="V40" s="56">
        <f t="shared" si="8"/>
        <v>89.054889062499996</v>
      </c>
      <c r="W40" s="22"/>
      <c r="X40" s="22"/>
      <c r="Y40" s="22"/>
      <c r="Z40" s="22"/>
      <c r="AA40" s="22"/>
      <c r="AB40" s="20"/>
      <c r="AC40" s="20"/>
      <c r="AD40" s="69">
        <v>116.20358</v>
      </c>
      <c r="AE40" s="69"/>
      <c r="AF40" s="71"/>
      <c r="AG40" s="69"/>
      <c r="AH40" s="69"/>
      <c r="AI40" s="69"/>
    </row>
    <row r="41" spans="1:35" s="78" customFormat="1" ht="76.5" customHeight="1" x14ac:dyDescent="0.25">
      <c r="A41" s="53"/>
      <c r="B41" s="26" t="s">
        <v>114</v>
      </c>
      <c r="C41" s="29" t="s">
        <v>76</v>
      </c>
      <c r="D41" s="28">
        <f>D39</f>
        <v>1</v>
      </c>
      <c r="E41" s="29" t="s">
        <v>76</v>
      </c>
      <c r="F41" s="30" t="s">
        <v>76</v>
      </c>
      <c r="G41" s="30" t="s">
        <v>76</v>
      </c>
      <c r="H41" s="30" t="s">
        <v>76</v>
      </c>
      <c r="I41" s="30" t="s">
        <v>76</v>
      </c>
      <c r="J41" s="30" t="s">
        <v>76</v>
      </c>
      <c r="K41" s="30" t="s">
        <v>76</v>
      </c>
      <c r="L41" s="30" t="s">
        <v>76</v>
      </c>
      <c r="M41" s="30" t="s">
        <v>76</v>
      </c>
      <c r="N41" s="30" t="s">
        <v>76</v>
      </c>
      <c r="O41" s="30">
        <v>10160.5</v>
      </c>
      <c r="P41" s="30">
        <v>17120.5</v>
      </c>
      <c r="Q41" s="30" t="s">
        <v>76</v>
      </c>
      <c r="R41" s="30" t="s">
        <v>76</v>
      </c>
      <c r="S41" s="30" t="s">
        <v>76</v>
      </c>
      <c r="T41" s="30">
        <v>17120.5</v>
      </c>
      <c r="U41" s="38">
        <v>15764.11573</v>
      </c>
      <c r="V41" s="56">
        <f t="shared" si="8"/>
        <v>92.077426068163888</v>
      </c>
      <c r="W41" s="38" t="s">
        <v>76</v>
      </c>
      <c r="X41" s="38" t="s">
        <v>76</v>
      </c>
      <c r="Y41" s="38" t="s">
        <v>77</v>
      </c>
      <c r="Z41" s="38" t="s">
        <v>77</v>
      </c>
      <c r="AA41" s="38" t="s">
        <v>77</v>
      </c>
      <c r="AB41" s="30" t="s">
        <v>76</v>
      </c>
      <c r="AC41" s="30" t="s">
        <v>76</v>
      </c>
      <c r="AD41" s="30" t="s">
        <v>77</v>
      </c>
      <c r="AE41" s="30" t="s">
        <v>77</v>
      </c>
      <c r="AF41" s="29" t="s">
        <v>77</v>
      </c>
      <c r="AG41" s="30" t="s">
        <v>77</v>
      </c>
      <c r="AH41" s="30" t="s">
        <v>77</v>
      </c>
      <c r="AI41" s="30" t="s">
        <v>77</v>
      </c>
    </row>
    <row r="42" spans="1:35" s="78" customFormat="1" ht="162" customHeight="1" x14ac:dyDescent="0.25">
      <c r="A42" s="53">
        <v>3513</v>
      </c>
      <c r="B42" s="52" t="s">
        <v>115</v>
      </c>
      <c r="C42" s="57" t="s">
        <v>41</v>
      </c>
      <c r="D42" s="57">
        <v>1</v>
      </c>
      <c r="E42" s="73" t="s">
        <v>116</v>
      </c>
      <c r="F42" s="74">
        <v>10</v>
      </c>
      <c r="G42" s="75">
        <v>10</v>
      </c>
      <c r="H42" s="19">
        <f>(G42-F42)/F42*100</f>
        <v>0</v>
      </c>
      <c r="I42" s="20"/>
      <c r="J42" s="20"/>
      <c r="K42" s="75">
        <f>G42</f>
        <v>10</v>
      </c>
      <c r="L42" s="20">
        <f>K42/G42*100</f>
        <v>100</v>
      </c>
      <c r="M42" s="20"/>
      <c r="N42" s="20"/>
      <c r="O42" s="22">
        <v>28188.2</v>
      </c>
      <c r="P42" s="22">
        <v>31383.735000000001</v>
      </c>
      <c r="Q42" s="21">
        <f>(P42-O42)/O42*100</f>
        <v>11.33642800888315</v>
      </c>
      <c r="R42" s="20">
        <v>1</v>
      </c>
      <c r="S42" s="20"/>
      <c r="T42" s="22">
        <v>31383.735000000001</v>
      </c>
      <c r="U42" s="22">
        <v>31294.975640000001</v>
      </c>
      <c r="V42" s="56">
        <f t="shared" si="8"/>
        <v>99.717180380219233</v>
      </c>
      <c r="W42" s="22"/>
      <c r="X42" s="22"/>
      <c r="Y42" s="22">
        <f>O42/F42</f>
        <v>2818.82</v>
      </c>
      <c r="Z42" s="22">
        <f>P42/G42</f>
        <v>3138.3735000000001</v>
      </c>
      <c r="AA42" s="22">
        <f>(Z42-Y42)/Y42*100</f>
        <v>11.336428008883148</v>
      </c>
      <c r="AB42" s="20">
        <v>1</v>
      </c>
      <c r="AC42" s="20"/>
      <c r="AD42" s="69">
        <v>196.36107999999999</v>
      </c>
      <c r="AE42" s="69"/>
      <c r="AF42" s="76" t="s">
        <v>111</v>
      </c>
      <c r="AG42" s="69">
        <v>71</v>
      </c>
      <c r="AH42" s="69">
        <v>71</v>
      </c>
      <c r="AI42" s="69">
        <v>100</v>
      </c>
    </row>
    <row r="43" spans="1:35" s="78" customFormat="1" ht="66.75" customHeight="1" x14ac:dyDescent="0.25">
      <c r="A43" s="53"/>
      <c r="B43" s="52" t="s">
        <v>117</v>
      </c>
      <c r="C43" s="53"/>
      <c r="D43" s="16"/>
      <c r="E43" s="16"/>
      <c r="F43" s="75"/>
      <c r="G43" s="75"/>
      <c r="H43" s="20"/>
      <c r="I43" s="20"/>
      <c r="J43" s="20"/>
      <c r="K43" s="75"/>
      <c r="L43" s="20"/>
      <c r="M43" s="20"/>
      <c r="N43" s="20"/>
      <c r="O43" s="19">
        <v>28188.2</v>
      </c>
      <c r="P43" s="19">
        <v>31383.735000000001</v>
      </c>
      <c r="Q43" s="23">
        <f>((P43-O43)/O43*100)</f>
        <v>11.33642800888315</v>
      </c>
      <c r="R43" s="20"/>
      <c r="S43" s="20"/>
      <c r="T43" s="19">
        <v>31383.735000000001</v>
      </c>
      <c r="U43" s="61">
        <v>31294.975640000001</v>
      </c>
      <c r="V43" s="56">
        <f t="shared" si="8"/>
        <v>99.717180380219233</v>
      </c>
      <c r="W43" s="22"/>
      <c r="X43" s="22"/>
      <c r="Y43" s="22"/>
      <c r="Z43" s="22"/>
      <c r="AA43" s="22"/>
      <c r="AB43" s="20">
        <v>2</v>
      </c>
      <c r="AC43" s="20"/>
      <c r="AD43" s="31">
        <f>AD42+AD45</f>
        <v>1282.25927</v>
      </c>
      <c r="AE43" s="31"/>
      <c r="AF43" s="76"/>
      <c r="AG43" s="69"/>
      <c r="AH43" s="69"/>
      <c r="AI43" s="69"/>
    </row>
    <row r="44" spans="1:35" s="84" customFormat="1" ht="126" customHeight="1" x14ac:dyDescent="0.25">
      <c r="A44" s="53">
        <v>2502</v>
      </c>
      <c r="B44" s="52" t="s">
        <v>118</v>
      </c>
      <c r="C44" s="73" t="s">
        <v>41</v>
      </c>
      <c r="D44" s="73">
        <v>2</v>
      </c>
      <c r="E44" s="73" t="s">
        <v>119</v>
      </c>
      <c r="F44" s="80">
        <v>612719</v>
      </c>
      <c r="G44" s="81">
        <v>881538</v>
      </c>
      <c r="H44" s="62">
        <f>((G44-F44)/F44*100)</f>
        <v>43.873129444329294</v>
      </c>
      <c r="I44" s="62"/>
      <c r="J44" s="62"/>
      <c r="K44" s="80">
        <v>881538</v>
      </c>
      <c r="L44" s="62">
        <f>(K44/G44*100)</f>
        <v>100</v>
      </c>
      <c r="M44" s="62"/>
      <c r="N44" s="62"/>
      <c r="O44" s="19">
        <v>77398.2</v>
      </c>
      <c r="P44" s="19">
        <v>77398.2</v>
      </c>
      <c r="Q44" s="62">
        <f>((P44-O44)/O44*100)</f>
        <v>0</v>
      </c>
      <c r="R44" s="62"/>
      <c r="S44" s="62"/>
      <c r="T44" s="19">
        <v>77398.2</v>
      </c>
      <c r="U44" s="19">
        <v>77398.2</v>
      </c>
      <c r="V44" s="56">
        <f t="shared" si="8"/>
        <v>100</v>
      </c>
      <c r="W44" s="62"/>
      <c r="X44" s="62"/>
      <c r="Y44" s="62">
        <f>O44/F44</f>
        <v>0.12631924258918034</v>
      </c>
      <c r="Z44" s="62">
        <f>P44/G44</f>
        <v>8.7799051203691733E-2</v>
      </c>
      <c r="AA44" s="62">
        <f>(Z44-Y44)/Z44*100</f>
        <v>-43.873129444329265</v>
      </c>
      <c r="AB44" s="62"/>
      <c r="AC44" s="62"/>
      <c r="AD44" s="82">
        <f>P44-T44</f>
        <v>0</v>
      </c>
      <c r="AE44" s="82"/>
      <c r="AF44" s="83" t="s">
        <v>120</v>
      </c>
      <c r="AG44" s="82">
        <v>6.2</v>
      </c>
      <c r="AH44" s="82">
        <v>6.2</v>
      </c>
      <c r="AI44" s="60">
        <f>(AH44/AG44)*100</f>
        <v>100</v>
      </c>
    </row>
    <row r="45" spans="1:35" s="84" customFormat="1" ht="120.4" customHeight="1" x14ac:dyDescent="0.25">
      <c r="A45" s="53"/>
      <c r="B45" s="52" t="s">
        <v>121</v>
      </c>
      <c r="C45" s="73"/>
      <c r="D45" s="73"/>
      <c r="E45" s="73"/>
      <c r="F45" s="19"/>
      <c r="G45" s="85"/>
      <c r="H45" s="62"/>
      <c r="I45" s="62"/>
      <c r="J45" s="62"/>
      <c r="K45" s="19"/>
      <c r="L45" s="62"/>
      <c r="M45" s="62"/>
      <c r="N45" s="62"/>
      <c r="O45" s="19">
        <v>3609.2</v>
      </c>
      <c r="P45" s="86">
        <v>3805.3300800000002</v>
      </c>
      <c r="Q45" s="62">
        <f>((P45-O45)/O45*100)</f>
        <v>5.4341704532860575</v>
      </c>
      <c r="R45" s="62"/>
      <c r="S45" s="62"/>
      <c r="T45" s="86">
        <v>3805.3300800000002</v>
      </c>
      <c r="U45" s="86">
        <v>2981.8379399999999</v>
      </c>
      <c r="V45" s="56">
        <f t="shared" si="8"/>
        <v>78.359508303153561</v>
      </c>
      <c r="W45" s="62"/>
      <c r="X45" s="62"/>
      <c r="Y45" s="62"/>
      <c r="Z45" s="62"/>
      <c r="AA45" s="62"/>
      <c r="AB45" s="62"/>
      <c r="AC45" s="62"/>
      <c r="AD45" s="69">
        <v>1085.8981900000001</v>
      </c>
      <c r="AE45" s="69"/>
      <c r="AF45" s="87"/>
      <c r="AG45" s="88"/>
      <c r="AH45" s="88"/>
      <c r="AI45" s="89"/>
    </row>
    <row r="46" spans="1:35" s="96" customFormat="1" ht="101.45" customHeight="1" x14ac:dyDescent="0.25">
      <c r="A46" s="90"/>
      <c r="B46" s="26" t="s">
        <v>122</v>
      </c>
      <c r="C46" s="91" t="s">
        <v>77</v>
      </c>
      <c r="D46" s="91" t="s">
        <v>77</v>
      </c>
      <c r="E46" s="91" t="s">
        <v>77</v>
      </c>
      <c r="F46" s="92" t="s">
        <v>77</v>
      </c>
      <c r="G46" s="92" t="s">
        <v>77</v>
      </c>
      <c r="H46" s="93" t="s">
        <v>77</v>
      </c>
      <c r="I46" s="93" t="s">
        <v>77</v>
      </c>
      <c r="J46" s="93" t="s">
        <v>77</v>
      </c>
      <c r="K46" s="92" t="s">
        <v>77</v>
      </c>
      <c r="L46" s="93" t="s">
        <v>77</v>
      </c>
      <c r="M46" s="93" t="s">
        <v>77</v>
      </c>
      <c r="N46" s="93" t="s">
        <v>77</v>
      </c>
      <c r="O46" s="92">
        <v>81007.399999999994</v>
      </c>
      <c r="P46" s="92">
        <v>81203.530079999997</v>
      </c>
      <c r="Q46" s="93">
        <f>(P46-O46)/O46*100</f>
        <v>0.24211378219767904</v>
      </c>
      <c r="R46" s="93" t="s">
        <v>77</v>
      </c>
      <c r="S46" s="93" t="s">
        <v>77</v>
      </c>
      <c r="T46" s="92">
        <v>81203.530079999997</v>
      </c>
      <c r="U46" s="92">
        <v>80380.037939999995</v>
      </c>
      <c r="V46" s="56">
        <f t="shared" si="8"/>
        <v>98.985891205482417</v>
      </c>
      <c r="W46" s="93" t="s">
        <v>77</v>
      </c>
      <c r="X46" s="93" t="s">
        <v>77</v>
      </c>
      <c r="Y46" s="93" t="s">
        <v>77</v>
      </c>
      <c r="Z46" s="93" t="s">
        <v>77</v>
      </c>
      <c r="AA46" s="93" t="s">
        <v>77</v>
      </c>
      <c r="AB46" s="93" t="s">
        <v>77</v>
      </c>
      <c r="AC46" s="93" t="s">
        <v>77</v>
      </c>
      <c r="AD46" s="82"/>
      <c r="AE46" s="94"/>
      <c r="AF46" s="39"/>
      <c r="AG46" s="94"/>
      <c r="AH46" s="94"/>
      <c r="AI46" s="95"/>
    </row>
    <row r="47" spans="1:35" s="84" customFormat="1" ht="80.25" customHeight="1" x14ac:dyDescent="0.25">
      <c r="A47" s="53">
        <v>3506</v>
      </c>
      <c r="B47" s="52" t="s">
        <v>123</v>
      </c>
      <c r="C47" s="73" t="s">
        <v>41</v>
      </c>
      <c r="D47" s="73">
        <v>2</v>
      </c>
      <c r="E47" s="73" t="s">
        <v>124</v>
      </c>
      <c r="F47" s="97">
        <v>3562597</v>
      </c>
      <c r="G47" s="81">
        <v>3562597</v>
      </c>
      <c r="H47" s="62">
        <f>((G47-F47)/F47*100)</f>
        <v>0</v>
      </c>
      <c r="I47" s="62"/>
      <c r="J47" s="62"/>
      <c r="K47" s="80">
        <v>3562597</v>
      </c>
      <c r="L47" s="62">
        <f>(K47/G47*100)</f>
        <v>100</v>
      </c>
      <c r="M47" s="62"/>
      <c r="N47" s="62"/>
      <c r="O47" s="19">
        <v>32276.2749</v>
      </c>
      <c r="P47" s="19">
        <v>29961.208719999999</v>
      </c>
      <c r="Q47" s="62">
        <f>((P47-O47)/O47*100)</f>
        <v>-7.1726560365861847</v>
      </c>
      <c r="R47" s="62"/>
      <c r="S47" s="62"/>
      <c r="T47" s="19">
        <v>29961.208719999999</v>
      </c>
      <c r="U47" s="19">
        <v>29961.208719999999</v>
      </c>
      <c r="V47" s="56">
        <f t="shared" si="8"/>
        <v>100</v>
      </c>
      <c r="W47" s="62"/>
      <c r="X47" s="62"/>
      <c r="Y47" s="62">
        <f t="shared" ref="Y47:Z49" si="9">O47/F47</f>
        <v>9.0597603096842002E-3</v>
      </c>
      <c r="Z47" s="62">
        <f t="shared" si="9"/>
        <v>8.4099348649313965E-3</v>
      </c>
      <c r="AA47" s="62">
        <f>(Z47-Y47)/Z47*100</f>
        <v>-7.7268784501829151</v>
      </c>
      <c r="AB47" s="62"/>
      <c r="AC47" s="62"/>
      <c r="AD47" s="82">
        <f>P47-T47</f>
        <v>0</v>
      </c>
      <c r="AE47" s="69"/>
      <c r="AF47" s="447" t="s">
        <v>120</v>
      </c>
      <c r="AG47" s="448">
        <v>6.2</v>
      </c>
      <c r="AH47" s="448">
        <v>6.2</v>
      </c>
      <c r="AI47" s="449">
        <f>(AH47/AG47*100)</f>
        <v>100</v>
      </c>
    </row>
    <row r="48" spans="1:35" s="84" customFormat="1" ht="57.75" customHeight="1" x14ac:dyDescent="0.25">
      <c r="A48" s="53">
        <v>3506</v>
      </c>
      <c r="B48" s="52" t="s">
        <v>125</v>
      </c>
      <c r="C48" s="73" t="s">
        <v>41</v>
      </c>
      <c r="D48" s="73">
        <v>2</v>
      </c>
      <c r="E48" s="73" t="s">
        <v>124</v>
      </c>
      <c r="F48" s="80">
        <v>36040</v>
      </c>
      <c r="G48" s="81">
        <v>36040</v>
      </c>
      <c r="H48" s="62">
        <f>((G48-F48)/F48*100)</f>
        <v>0</v>
      </c>
      <c r="I48" s="62"/>
      <c r="J48" s="62"/>
      <c r="K48" s="80">
        <v>36040</v>
      </c>
      <c r="L48" s="62">
        <f>(K48/G48*100)</f>
        <v>100</v>
      </c>
      <c r="M48" s="62"/>
      <c r="N48" s="62"/>
      <c r="O48" s="19">
        <v>14825.3472</v>
      </c>
      <c r="P48" s="19">
        <v>21058.420099999999</v>
      </c>
      <c r="Q48" s="62">
        <f>((P48-O48)/O48*100)</f>
        <v>42.043351942543374</v>
      </c>
      <c r="R48" s="62"/>
      <c r="S48" s="62"/>
      <c r="T48" s="19">
        <v>21058.420099999999</v>
      </c>
      <c r="U48" s="19">
        <v>21058.420099999999</v>
      </c>
      <c r="V48" s="56">
        <f t="shared" si="8"/>
        <v>100</v>
      </c>
      <c r="W48" s="62"/>
      <c r="X48" s="62"/>
      <c r="Y48" s="62">
        <f t="shared" si="9"/>
        <v>0.41135813540510546</v>
      </c>
      <c r="Z48" s="62">
        <f t="shared" si="9"/>
        <v>0.58430688401775799</v>
      </c>
      <c r="AA48" s="62">
        <f>(Z48-Y48)/Z48*100</f>
        <v>29.598957900930078</v>
      </c>
      <c r="AB48" s="62"/>
      <c r="AC48" s="62"/>
      <c r="AD48" s="82">
        <f>P48-T48</f>
        <v>0</v>
      </c>
      <c r="AE48" s="69"/>
      <c r="AF48" s="447"/>
      <c r="AG48" s="448"/>
      <c r="AH48" s="448"/>
      <c r="AI48" s="449"/>
    </row>
    <row r="49" spans="1:35" s="84" customFormat="1" ht="69.75" customHeight="1" x14ac:dyDescent="0.25">
      <c r="A49" s="53">
        <v>3506</v>
      </c>
      <c r="B49" s="52" t="s">
        <v>126</v>
      </c>
      <c r="C49" s="73" t="s">
        <v>41</v>
      </c>
      <c r="D49" s="73">
        <v>1</v>
      </c>
      <c r="E49" s="73" t="s">
        <v>127</v>
      </c>
      <c r="F49" s="97">
        <v>11</v>
      </c>
      <c r="G49" s="81">
        <v>11</v>
      </c>
      <c r="H49" s="62">
        <f>((G49-F49)/F49*100)</f>
        <v>0</v>
      </c>
      <c r="I49" s="62"/>
      <c r="J49" s="62"/>
      <c r="K49" s="80">
        <v>11</v>
      </c>
      <c r="L49" s="62">
        <f>(K49/G49*100)</f>
        <v>100</v>
      </c>
      <c r="M49" s="62"/>
      <c r="N49" s="62"/>
      <c r="O49" s="19">
        <v>2531.2779</v>
      </c>
      <c r="P49" s="19">
        <v>530.97118</v>
      </c>
      <c r="Q49" s="62">
        <f>((P49-O49)/O49*100)</f>
        <v>-79.023591996753893</v>
      </c>
      <c r="R49" s="62"/>
      <c r="S49" s="62"/>
      <c r="T49" s="19">
        <v>530.97118</v>
      </c>
      <c r="U49" s="19">
        <v>530.97118</v>
      </c>
      <c r="V49" s="56">
        <f t="shared" si="8"/>
        <v>100</v>
      </c>
      <c r="W49" s="62"/>
      <c r="X49" s="62"/>
      <c r="Y49" s="62">
        <f t="shared" si="9"/>
        <v>230.11617272727273</v>
      </c>
      <c r="Z49" s="62">
        <f t="shared" si="9"/>
        <v>48.270107272727273</v>
      </c>
      <c r="AA49" s="62">
        <f>(Z49-Y49)/Z49*100</f>
        <v>-376.72604377510658</v>
      </c>
      <c r="AB49" s="62"/>
      <c r="AC49" s="62"/>
      <c r="AD49" s="82">
        <f>P49-T49</f>
        <v>0</v>
      </c>
      <c r="AE49" s="69"/>
      <c r="AF49" s="447"/>
      <c r="AG49" s="448"/>
      <c r="AH49" s="448"/>
      <c r="AI49" s="449"/>
    </row>
    <row r="50" spans="1:35" s="84" customFormat="1" ht="0.6" customHeight="1" x14ac:dyDescent="0.25">
      <c r="A50" s="53"/>
      <c r="B50" s="52" t="s">
        <v>128</v>
      </c>
      <c r="C50" s="73"/>
      <c r="D50" s="73">
        <v>2</v>
      </c>
      <c r="E50" s="73"/>
      <c r="F50" s="19"/>
      <c r="G50" s="19"/>
      <c r="H50" s="62"/>
      <c r="I50" s="62"/>
      <c r="J50" s="62"/>
      <c r="K50" s="19"/>
      <c r="L50" s="62"/>
      <c r="M50" s="62"/>
      <c r="N50" s="62"/>
      <c r="O50" s="19">
        <v>49632.9</v>
      </c>
      <c r="P50" s="19">
        <v>51550.6</v>
      </c>
      <c r="Q50" s="62"/>
      <c r="R50" s="62"/>
      <c r="S50" s="62"/>
      <c r="T50" s="19">
        <v>51550.6</v>
      </c>
      <c r="U50" s="19">
        <v>51550.6</v>
      </c>
      <c r="V50" s="19">
        <f t="shared" si="8"/>
        <v>100</v>
      </c>
      <c r="W50" s="62"/>
      <c r="X50" s="62"/>
      <c r="Y50" s="62"/>
      <c r="Z50" s="62"/>
      <c r="AA50" s="62"/>
      <c r="AB50" s="62"/>
      <c r="AC50" s="62"/>
      <c r="AD50" s="82"/>
      <c r="AE50" s="69"/>
      <c r="AF50" s="71"/>
      <c r="AG50" s="69"/>
      <c r="AH50" s="69"/>
      <c r="AI50" s="60"/>
    </row>
    <row r="51" spans="1:35" s="84" customFormat="1" ht="97.5" customHeight="1" x14ac:dyDescent="0.25">
      <c r="A51" s="53"/>
      <c r="B51" s="52" t="s">
        <v>129</v>
      </c>
      <c r="C51" s="73"/>
      <c r="D51" s="73"/>
      <c r="E51" s="73"/>
      <c r="F51" s="19"/>
      <c r="G51" s="19"/>
      <c r="H51" s="62"/>
      <c r="I51" s="62"/>
      <c r="J51" s="62"/>
      <c r="K51" s="19"/>
      <c r="L51" s="62"/>
      <c r="M51" s="62"/>
      <c r="N51" s="62"/>
      <c r="O51" s="19">
        <v>0</v>
      </c>
      <c r="P51" s="19">
        <v>0</v>
      </c>
      <c r="Q51" s="62"/>
      <c r="R51" s="62"/>
      <c r="S51" s="62"/>
      <c r="T51" s="19">
        <v>0</v>
      </c>
      <c r="U51" s="19">
        <v>0</v>
      </c>
      <c r="V51" s="19"/>
      <c r="W51" s="62"/>
      <c r="X51" s="62"/>
      <c r="Y51" s="62"/>
      <c r="Z51" s="62"/>
      <c r="AA51" s="62"/>
      <c r="AB51" s="62"/>
      <c r="AC51" s="62"/>
      <c r="AD51" s="82"/>
      <c r="AE51" s="69"/>
      <c r="AF51" s="71"/>
      <c r="AG51" s="69"/>
      <c r="AH51" s="69"/>
      <c r="AI51" s="60"/>
    </row>
    <row r="52" spans="1:35" s="96" customFormat="1" ht="79.5" customHeight="1" x14ac:dyDescent="0.25">
      <c r="A52" s="90"/>
      <c r="B52" s="26" t="s">
        <v>130</v>
      </c>
      <c r="C52" s="91" t="s">
        <v>77</v>
      </c>
      <c r="D52" s="91">
        <v>2</v>
      </c>
      <c r="E52" s="91" t="s">
        <v>77</v>
      </c>
      <c r="F52" s="92" t="s">
        <v>77</v>
      </c>
      <c r="G52" s="92" t="s">
        <v>77</v>
      </c>
      <c r="H52" s="93" t="s">
        <v>77</v>
      </c>
      <c r="I52" s="93" t="s">
        <v>77</v>
      </c>
      <c r="J52" s="93" t="s">
        <v>77</v>
      </c>
      <c r="K52" s="92" t="s">
        <v>77</v>
      </c>
      <c r="L52" s="93" t="s">
        <v>77</v>
      </c>
      <c r="M52" s="93" t="s">
        <v>77</v>
      </c>
      <c r="N52" s="93" t="s">
        <v>77</v>
      </c>
      <c r="O52" s="92">
        <v>49632.9</v>
      </c>
      <c r="P52" s="92">
        <v>51550.6</v>
      </c>
      <c r="Q52" s="93" t="s">
        <v>77</v>
      </c>
      <c r="R52" s="93" t="s">
        <v>77</v>
      </c>
      <c r="S52" s="93" t="s">
        <v>77</v>
      </c>
      <c r="T52" s="92">
        <v>51550.6</v>
      </c>
      <c r="U52" s="92">
        <v>57213.66</v>
      </c>
      <c r="V52" s="92" t="s">
        <v>77</v>
      </c>
      <c r="W52" s="93" t="s">
        <v>77</v>
      </c>
      <c r="X52" s="93" t="s">
        <v>77</v>
      </c>
      <c r="Y52" s="93" t="s">
        <v>77</v>
      </c>
      <c r="Z52" s="93" t="s">
        <v>77</v>
      </c>
      <c r="AA52" s="93" t="s">
        <v>77</v>
      </c>
      <c r="AB52" s="93" t="s">
        <v>77</v>
      </c>
      <c r="AC52" s="93" t="s">
        <v>77</v>
      </c>
      <c r="AD52" s="98"/>
      <c r="AE52" s="94"/>
      <c r="AF52" s="39"/>
      <c r="AG52" s="94"/>
      <c r="AH52" s="94"/>
      <c r="AI52" s="95"/>
    </row>
    <row r="53" spans="1:35" s="84" customFormat="1" ht="99.75" customHeight="1" x14ac:dyDescent="0.25">
      <c r="A53" s="53">
        <v>2503</v>
      </c>
      <c r="B53" s="52" t="s">
        <v>131</v>
      </c>
      <c r="C53" s="73" t="s">
        <v>132</v>
      </c>
      <c r="D53" s="73">
        <v>4</v>
      </c>
      <c r="E53" s="73" t="s">
        <v>133</v>
      </c>
      <c r="F53" s="97">
        <v>409624</v>
      </c>
      <c r="G53" s="81">
        <v>414520</v>
      </c>
      <c r="H53" s="62">
        <f>((G53-F53)/F53*100)</f>
        <v>1.1952424662617425</v>
      </c>
      <c r="I53" s="62"/>
      <c r="J53" s="62"/>
      <c r="K53" s="80">
        <v>424221</v>
      </c>
      <c r="L53" s="62">
        <f>(K53/G53*100)</f>
        <v>102.34029721123228</v>
      </c>
      <c r="M53" s="62"/>
      <c r="N53" s="62"/>
      <c r="O53" s="19">
        <v>66269.7</v>
      </c>
      <c r="P53" s="19">
        <v>66269.7</v>
      </c>
      <c r="Q53" s="62">
        <f>((P53-O53)/O53*100)</f>
        <v>0</v>
      </c>
      <c r="R53" s="62"/>
      <c r="S53" s="62"/>
      <c r="T53" s="19">
        <v>66269.7</v>
      </c>
      <c r="U53" s="19">
        <v>66269.7</v>
      </c>
      <c r="V53" s="19">
        <f>(T53/P53*100)</f>
        <v>100</v>
      </c>
      <c r="W53" s="62"/>
      <c r="X53" s="62"/>
      <c r="Y53" s="62">
        <f>O53/F53</f>
        <v>0.16178178036443178</v>
      </c>
      <c r="Z53" s="62">
        <f>P53/G53</f>
        <v>0.15987093505741579</v>
      </c>
      <c r="AA53" s="62">
        <f>(Z53-Y53)/Z53*100</f>
        <v>-1.1952424662617582</v>
      </c>
      <c r="AB53" s="62"/>
      <c r="AC53" s="62"/>
      <c r="AD53" s="82">
        <f>P53-T53</f>
        <v>0</v>
      </c>
      <c r="AE53" s="69"/>
      <c r="AF53" s="71" t="s">
        <v>134</v>
      </c>
      <c r="AG53" s="69">
        <v>0.2</v>
      </c>
      <c r="AH53" s="69">
        <v>0.2</v>
      </c>
      <c r="AI53" s="60">
        <f>(AH53/AG53*100)</f>
        <v>100</v>
      </c>
    </row>
    <row r="54" spans="1:35" s="84" customFormat="1" ht="46.5" customHeight="1" x14ac:dyDescent="0.25">
      <c r="A54" s="53">
        <v>2503</v>
      </c>
      <c r="B54" s="52" t="s">
        <v>135</v>
      </c>
      <c r="C54" s="73"/>
      <c r="D54" s="73"/>
      <c r="E54" s="73"/>
      <c r="F54" s="19"/>
      <c r="G54" s="99"/>
      <c r="H54" s="62"/>
      <c r="I54" s="62"/>
      <c r="J54" s="62"/>
      <c r="K54" s="19"/>
      <c r="L54" s="62"/>
      <c r="M54" s="62"/>
      <c r="N54" s="62"/>
      <c r="O54" s="19">
        <v>10137</v>
      </c>
      <c r="P54" s="19">
        <v>13555.677799999999</v>
      </c>
      <c r="Q54" s="62">
        <f>((P54-O54)/O54*100)</f>
        <v>33.724748939528453</v>
      </c>
      <c r="R54" s="62"/>
      <c r="S54" s="62"/>
      <c r="T54" s="19">
        <v>13555.677799999999</v>
      </c>
      <c r="U54" s="19">
        <v>13256.406950000001</v>
      </c>
      <c r="V54" s="19">
        <f>U54/P54*100</f>
        <v>97.792284130565577</v>
      </c>
      <c r="W54" s="62"/>
      <c r="X54" s="62"/>
      <c r="Y54" s="62"/>
      <c r="Z54" s="62"/>
      <c r="AA54" s="62"/>
      <c r="AB54" s="62"/>
      <c r="AC54" s="62"/>
      <c r="AD54" s="69">
        <v>553.82881999999802</v>
      </c>
      <c r="AE54" s="69"/>
      <c r="AF54" s="71"/>
      <c r="AG54" s="69"/>
      <c r="AH54" s="69"/>
      <c r="AI54" s="60"/>
    </row>
    <row r="55" spans="1:35" s="96" customFormat="1" ht="66" customHeight="1" x14ac:dyDescent="0.25">
      <c r="A55" s="90"/>
      <c r="B55" s="26" t="s">
        <v>136</v>
      </c>
      <c r="C55" s="91" t="s">
        <v>77</v>
      </c>
      <c r="D55" s="91" t="s">
        <v>77</v>
      </c>
      <c r="E55" s="91" t="s">
        <v>77</v>
      </c>
      <c r="F55" s="92" t="s">
        <v>77</v>
      </c>
      <c r="G55" s="92" t="s">
        <v>77</v>
      </c>
      <c r="H55" s="93" t="s">
        <v>77</v>
      </c>
      <c r="I55" s="93" t="s">
        <v>77</v>
      </c>
      <c r="J55" s="93" t="s">
        <v>77</v>
      </c>
      <c r="K55" s="92" t="s">
        <v>77</v>
      </c>
      <c r="L55" s="93" t="s">
        <v>77</v>
      </c>
      <c r="M55" s="93" t="s">
        <v>77</v>
      </c>
      <c r="N55" s="93" t="s">
        <v>77</v>
      </c>
      <c r="O55" s="92">
        <v>76406.7</v>
      </c>
      <c r="P55" s="92">
        <v>79825.377800000002</v>
      </c>
      <c r="Q55" s="93">
        <f>(P55-O55)/P55*100</f>
        <v>4.2826954212047648</v>
      </c>
      <c r="R55" s="93" t="s">
        <v>77</v>
      </c>
      <c r="S55" s="93" t="s">
        <v>77</v>
      </c>
      <c r="T55" s="92">
        <v>79825.377800000002</v>
      </c>
      <c r="U55" s="92">
        <v>75670.039999999994</v>
      </c>
      <c r="V55" s="92" t="s">
        <v>77</v>
      </c>
      <c r="W55" s="93" t="s">
        <v>77</v>
      </c>
      <c r="X55" s="93" t="s">
        <v>77</v>
      </c>
      <c r="Y55" s="93" t="s">
        <v>77</v>
      </c>
      <c r="Z55" s="93" t="s">
        <v>77</v>
      </c>
      <c r="AA55" s="93" t="s">
        <v>77</v>
      </c>
      <c r="AB55" s="93" t="s">
        <v>77</v>
      </c>
      <c r="AC55" s="93" t="s">
        <v>77</v>
      </c>
      <c r="AD55" s="82"/>
      <c r="AE55" s="94"/>
      <c r="AF55" s="39"/>
      <c r="AG55" s="94"/>
      <c r="AH55" s="94"/>
      <c r="AI55" s="95"/>
    </row>
    <row r="56" spans="1:35" s="84" customFormat="1" ht="81" customHeight="1" x14ac:dyDescent="0.25">
      <c r="A56" s="53">
        <v>3508</v>
      </c>
      <c r="B56" s="52" t="s">
        <v>137</v>
      </c>
      <c r="C56" s="73" t="s">
        <v>41</v>
      </c>
      <c r="D56" s="73">
        <v>4</v>
      </c>
      <c r="E56" s="73" t="s">
        <v>138</v>
      </c>
      <c r="F56" s="97">
        <v>399710</v>
      </c>
      <c r="G56" s="81">
        <v>399710</v>
      </c>
      <c r="H56" s="62">
        <f>((G56-F56)/F56*100)</f>
        <v>0</v>
      </c>
      <c r="I56" s="62"/>
      <c r="J56" s="62"/>
      <c r="K56" s="80">
        <v>399515</v>
      </c>
      <c r="L56" s="62">
        <f>(K56/G56*100)</f>
        <v>99.951214630607183</v>
      </c>
      <c r="M56" s="62"/>
      <c r="N56" s="62"/>
      <c r="O56" s="19">
        <v>67468.335690000007</v>
      </c>
      <c r="P56" s="19">
        <v>83216.962150000007</v>
      </c>
      <c r="Q56" s="62">
        <f>((P56-O56)/O56*100)</f>
        <v>23.342248328698915</v>
      </c>
      <c r="R56" s="62"/>
      <c r="S56" s="62"/>
      <c r="T56" s="19">
        <v>83216.962150000007</v>
      </c>
      <c r="U56" s="19">
        <v>83216.962150000007</v>
      </c>
      <c r="V56" s="56">
        <f>U56/P56*100</f>
        <v>100</v>
      </c>
      <c r="W56" s="62"/>
      <c r="X56" s="62"/>
      <c r="Y56" s="62">
        <f t="shared" ref="Y56:Z58" si="10">O56/F56</f>
        <v>0.16879321430537142</v>
      </c>
      <c r="Z56" s="62">
        <f t="shared" si="10"/>
        <v>0.20819334555052416</v>
      </c>
      <c r="AA56" s="62">
        <f>(Z56-Y56)/Z56*100</f>
        <v>18.924779339592845</v>
      </c>
      <c r="AB56" s="62"/>
      <c r="AC56" s="62"/>
      <c r="AD56" s="82">
        <f>P56-T56</f>
        <v>0</v>
      </c>
      <c r="AE56" s="69"/>
      <c r="AF56" s="447" t="s">
        <v>139</v>
      </c>
      <c r="AG56" s="448">
        <v>28.3</v>
      </c>
      <c r="AH56" s="448">
        <v>28.3</v>
      </c>
      <c r="AI56" s="449">
        <f>(AH56/AG56*100)</f>
        <v>100</v>
      </c>
    </row>
    <row r="57" spans="1:35" s="84" customFormat="1" ht="59.25" customHeight="1" x14ac:dyDescent="0.25">
      <c r="A57" s="53">
        <v>3508</v>
      </c>
      <c r="B57" s="52" t="s">
        <v>140</v>
      </c>
      <c r="C57" s="73" t="s">
        <v>41</v>
      </c>
      <c r="D57" s="73">
        <v>4</v>
      </c>
      <c r="E57" s="73" t="s">
        <v>141</v>
      </c>
      <c r="F57" s="80">
        <v>316</v>
      </c>
      <c r="G57" s="81">
        <v>316</v>
      </c>
      <c r="H57" s="62">
        <f>((G57-F57)/F57*100)</f>
        <v>0</v>
      </c>
      <c r="I57" s="62"/>
      <c r="J57" s="62"/>
      <c r="K57" s="80">
        <v>314</v>
      </c>
      <c r="L57" s="62">
        <f>(K57/G57*100)</f>
        <v>99.367088607594937</v>
      </c>
      <c r="M57" s="62"/>
      <c r="N57" s="62"/>
      <c r="O57" s="19">
        <v>31341.919559999998</v>
      </c>
      <c r="P57" s="19">
        <v>38657.828249999999</v>
      </c>
      <c r="Q57" s="62">
        <f>((P57-O57)/O57*100)</f>
        <v>23.342248313778775</v>
      </c>
      <c r="R57" s="62"/>
      <c r="S57" s="62"/>
      <c r="T57" s="19">
        <v>38657.828249999999</v>
      </c>
      <c r="U57" s="19">
        <v>38657.828249999999</v>
      </c>
      <c r="V57" s="56">
        <f>U57/P57*100</f>
        <v>100</v>
      </c>
      <c r="W57" s="62"/>
      <c r="X57" s="62"/>
      <c r="Y57" s="62">
        <f t="shared" si="10"/>
        <v>99.183289746835442</v>
      </c>
      <c r="Z57" s="62">
        <f t="shared" si="10"/>
        <v>122.33489952531644</v>
      </c>
      <c r="AA57" s="62">
        <f>(Z57-Y57)/Z57*100</f>
        <v>18.924779329785547</v>
      </c>
      <c r="AB57" s="62"/>
      <c r="AC57" s="62"/>
      <c r="AD57" s="82">
        <f>P57-T57</f>
        <v>0</v>
      </c>
      <c r="AE57" s="69"/>
      <c r="AF57" s="447"/>
      <c r="AG57" s="448"/>
      <c r="AH57" s="448"/>
      <c r="AI57" s="449"/>
    </row>
    <row r="58" spans="1:35" s="84" customFormat="1" ht="75" customHeight="1" x14ac:dyDescent="0.25">
      <c r="A58" s="53">
        <v>3508</v>
      </c>
      <c r="B58" s="52" t="s">
        <v>142</v>
      </c>
      <c r="C58" s="73" t="s">
        <v>41</v>
      </c>
      <c r="D58" s="73">
        <v>1</v>
      </c>
      <c r="E58" s="73" t="s">
        <v>138</v>
      </c>
      <c r="F58" s="80">
        <v>25</v>
      </c>
      <c r="G58" s="81">
        <v>25</v>
      </c>
      <c r="H58" s="62">
        <f>((G58-F58)/F58*100)</f>
        <v>0</v>
      </c>
      <c r="I58" s="62"/>
      <c r="J58" s="62"/>
      <c r="K58" s="80">
        <v>25</v>
      </c>
      <c r="L58" s="62">
        <f>(K58/G58*100)</f>
        <v>100</v>
      </c>
      <c r="M58" s="62"/>
      <c r="N58" s="62"/>
      <c r="O58" s="19">
        <v>247.64474999999999</v>
      </c>
      <c r="P58" s="19">
        <v>305.45060000000001</v>
      </c>
      <c r="Q58" s="62">
        <f>((P58-O58)/O58*100)</f>
        <v>23.342247311925661</v>
      </c>
      <c r="R58" s="62"/>
      <c r="S58" s="62"/>
      <c r="T58" s="19">
        <v>305.45060000000001</v>
      </c>
      <c r="U58" s="19">
        <v>305.45060000000001</v>
      </c>
      <c r="V58" s="56">
        <f>U58/P58*100</f>
        <v>100</v>
      </c>
      <c r="W58" s="62"/>
      <c r="X58" s="62"/>
      <c r="Y58" s="62">
        <f t="shared" si="10"/>
        <v>9.9057899999999997</v>
      </c>
      <c r="Z58" s="62">
        <f t="shared" si="10"/>
        <v>12.218024</v>
      </c>
      <c r="AA58" s="62">
        <f>(Z58-Y58)/Z58*100</f>
        <v>18.924778671248315</v>
      </c>
      <c r="AB58" s="62"/>
      <c r="AC58" s="62"/>
      <c r="AD58" s="82">
        <f>P58-T58</f>
        <v>0</v>
      </c>
      <c r="AE58" s="69"/>
      <c r="AF58" s="447"/>
      <c r="AG58" s="448"/>
      <c r="AH58" s="448"/>
      <c r="AI58" s="449"/>
    </row>
    <row r="59" spans="1:35" s="84" customFormat="1" ht="102" customHeight="1" x14ac:dyDescent="0.25">
      <c r="A59" s="53"/>
      <c r="B59" s="52" t="s">
        <v>143</v>
      </c>
      <c r="C59" s="73"/>
      <c r="D59" s="73">
        <v>4</v>
      </c>
      <c r="E59" s="73"/>
      <c r="F59" s="19"/>
      <c r="G59" s="19"/>
      <c r="H59" s="62"/>
      <c r="I59" s="62"/>
      <c r="J59" s="62"/>
      <c r="K59" s="19"/>
      <c r="L59" s="62"/>
      <c r="M59" s="62"/>
      <c r="N59" s="62"/>
      <c r="O59" s="19">
        <v>99057.9</v>
      </c>
      <c r="P59" s="19">
        <v>122180.24099999999</v>
      </c>
      <c r="Q59" s="62"/>
      <c r="R59" s="62"/>
      <c r="S59" s="62"/>
      <c r="T59" s="19">
        <v>122180.24099999999</v>
      </c>
      <c r="U59" s="19">
        <v>122180.24099999999</v>
      </c>
      <c r="V59" s="19">
        <f>U59/P59*100</f>
        <v>100</v>
      </c>
      <c r="W59" s="62"/>
      <c r="X59" s="62"/>
      <c r="Y59" s="62"/>
      <c r="Z59" s="62"/>
      <c r="AA59" s="62"/>
      <c r="AB59" s="62"/>
      <c r="AC59" s="62"/>
      <c r="AD59" s="69"/>
      <c r="AE59" s="69"/>
      <c r="AF59" s="71"/>
      <c r="AG59" s="69"/>
      <c r="AH59" s="69"/>
      <c r="AI59" s="60"/>
    </row>
    <row r="60" spans="1:35" s="84" customFormat="1" ht="110.25" customHeight="1" x14ac:dyDescent="0.25">
      <c r="A60" s="53"/>
      <c r="B60" s="52" t="s">
        <v>144</v>
      </c>
      <c r="C60" s="73"/>
      <c r="D60" s="73"/>
      <c r="E60" s="73"/>
      <c r="F60" s="19"/>
      <c r="G60" s="19"/>
      <c r="H60" s="62"/>
      <c r="I60" s="62"/>
      <c r="J60" s="62"/>
      <c r="K60" s="19"/>
      <c r="L60" s="62"/>
      <c r="M60" s="62"/>
      <c r="N60" s="62"/>
      <c r="O60" s="19">
        <v>0</v>
      </c>
      <c r="P60" s="19">
        <v>0</v>
      </c>
      <c r="Q60" s="62"/>
      <c r="R60" s="62"/>
      <c r="S60" s="62"/>
      <c r="T60" s="19">
        <v>0</v>
      </c>
      <c r="U60" s="19">
        <v>0</v>
      </c>
      <c r="V60" s="19"/>
      <c r="W60" s="62"/>
      <c r="X60" s="62"/>
      <c r="Y60" s="62"/>
      <c r="Z60" s="62"/>
      <c r="AA60" s="62"/>
      <c r="AB60" s="62"/>
      <c r="AC60" s="62"/>
      <c r="AD60" s="69"/>
      <c r="AE60" s="69"/>
      <c r="AF60" s="71"/>
      <c r="AG60" s="69"/>
      <c r="AH60" s="69"/>
      <c r="AI60" s="60"/>
    </row>
    <row r="61" spans="1:35" s="96" customFormat="1" ht="105" customHeight="1" x14ac:dyDescent="0.25">
      <c r="A61" s="90"/>
      <c r="B61" s="26" t="s">
        <v>145</v>
      </c>
      <c r="C61" s="91" t="s">
        <v>77</v>
      </c>
      <c r="D61" s="91">
        <v>4</v>
      </c>
      <c r="E61" s="91" t="s">
        <v>77</v>
      </c>
      <c r="F61" s="92" t="s">
        <v>77</v>
      </c>
      <c r="G61" s="92" t="s">
        <v>77</v>
      </c>
      <c r="H61" s="93" t="s">
        <v>77</v>
      </c>
      <c r="I61" s="93" t="s">
        <v>77</v>
      </c>
      <c r="J61" s="93" t="s">
        <v>77</v>
      </c>
      <c r="K61" s="92" t="s">
        <v>77</v>
      </c>
      <c r="L61" s="93" t="s">
        <v>77</v>
      </c>
      <c r="M61" s="93" t="s">
        <v>77</v>
      </c>
      <c r="N61" s="93" t="s">
        <v>77</v>
      </c>
      <c r="O61" s="92">
        <v>99057.9</v>
      </c>
      <c r="P61" s="92">
        <v>122180.24099999999</v>
      </c>
      <c r="Q61" s="93" t="s">
        <v>77</v>
      </c>
      <c r="R61" s="93" t="s">
        <v>77</v>
      </c>
      <c r="S61" s="93" t="s">
        <v>77</v>
      </c>
      <c r="T61" s="92">
        <v>122180.24099999999</v>
      </c>
      <c r="U61" s="92">
        <v>107854.11</v>
      </c>
      <c r="V61" s="92" t="s">
        <v>77</v>
      </c>
      <c r="W61" s="93" t="s">
        <v>77</v>
      </c>
      <c r="X61" s="93" t="s">
        <v>77</v>
      </c>
      <c r="Y61" s="93" t="s">
        <v>77</v>
      </c>
      <c r="Z61" s="93" t="s">
        <v>77</v>
      </c>
      <c r="AA61" s="93" t="s">
        <v>77</v>
      </c>
      <c r="AB61" s="93" t="s">
        <v>77</v>
      </c>
      <c r="AC61" s="93" t="s">
        <v>77</v>
      </c>
      <c r="AD61" s="94"/>
      <c r="AE61" s="94"/>
      <c r="AF61" s="39"/>
      <c r="AG61" s="94"/>
      <c r="AH61" s="94"/>
      <c r="AI61" s="95"/>
    </row>
    <row r="62" spans="1:35" s="78" customFormat="1" ht="59.25" customHeight="1" x14ac:dyDescent="0.25">
      <c r="A62" s="53">
        <v>2501</v>
      </c>
      <c r="B62" s="52" t="s">
        <v>146</v>
      </c>
      <c r="C62" s="73" t="s">
        <v>147</v>
      </c>
      <c r="D62" s="100">
        <v>12</v>
      </c>
      <c r="E62" s="73" t="s">
        <v>148</v>
      </c>
      <c r="F62" s="74">
        <v>947900</v>
      </c>
      <c r="G62" s="75">
        <v>943400</v>
      </c>
      <c r="H62" s="31">
        <f>((G62-F62)/F62*100)</f>
        <v>-0.47473362169005173</v>
      </c>
      <c r="I62" s="31">
        <v>1</v>
      </c>
      <c r="J62" s="31"/>
      <c r="K62" s="75">
        <v>943400</v>
      </c>
      <c r="L62" s="31">
        <f>(K62/G62*100)</f>
        <v>100</v>
      </c>
      <c r="M62" s="31"/>
      <c r="N62" s="31"/>
      <c r="O62" s="31">
        <v>169710.96090000001</v>
      </c>
      <c r="P62" s="31">
        <v>181151.30465000001</v>
      </c>
      <c r="Q62" s="31">
        <f t="shared" ref="Q62:Q76" si="11">((P62-O62)/O62*100)</f>
        <v>6.7410753491290842</v>
      </c>
      <c r="R62" s="31">
        <v>1</v>
      </c>
      <c r="S62" s="31"/>
      <c r="T62" s="31">
        <v>181151.30465000001</v>
      </c>
      <c r="U62" s="31">
        <v>181151.30465000001</v>
      </c>
      <c r="V62" s="31">
        <f t="shared" ref="V62:V70" si="12">U62/P62*100</f>
        <v>100</v>
      </c>
      <c r="W62" s="31"/>
      <c r="X62" s="31"/>
      <c r="Y62" s="31">
        <f>O62/F62</f>
        <v>0.17903888690790168</v>
      </c>
      <c r="Z62" s="31">
        <f>P62/G62</f>
        <v>0.19201961485054062</v>
      </c>
      <c r="AA62" s="31">
        <f>((Z62-Y62)/Y62*100)</f>
        <v>7.2502282419328683</v>
      </c>
      <c r="AB62" s="31"/>
      <c r="AC62" s="31"/>
      <c r="AD62" s="82">
        <f>T62-U62</f>
        <v>0</v>
      </c>
      <c r="AE62" s="82"/>
      <c r="AF62" s="444" t="s">
        <v>149</v>
      </c>
      <c r="AG62" s="445">
        <v>2.1</v>
      </c>
      <c r="AH62" s="445">
        <v>2.1</v>
      </c>
      <c r="AI62" s="446">
        <f>AH62/AG62*100</f>
        <v>100</v>
      </c>
    </row>
    <row r="63" spans="1:35" s="78" customFormat="1" ht="1.35" customHeight="1" x14ac:dyDescent="0.25">
      <c r="A63" s="53"/>
      <c r="B63" s="52" t="s">
        <v>150</v>
      </c>
      <c r="C63" s="29"/>
      <c r="D63" s="28"/>
      <c r="E63" s="29"/>
      <c r="F63" s="75"/>
      <c r="G63" s="75"/>
      <c r="H63" s="31"/>
      <c r="I63" s="31"/>
      <c r="J63" s="31"/>
      <c r="K63" s="75"/>
      <c r="L63" s="31"/>
      <c r="M63" s="31"/>
      <c r="N63" s="31"/>
      <c r="O63" s="31">
        <v>192273.34104</v>
      </c>
      <c r="P63" s="31">
        <v>259172.06081</v>
      </c>
      <c r="Q63" s="31">
        <f t="shared" si="11"/>
        <v>34.793549333541037</v>
      </c>
      <c r="R63" s="31"/>
      <c r="S63" s="31"/>
      <c r="T63" s="31">
        <v>259172.06081</v>
      </c>
      <c r="U63" s="31">
        <v>259172.06081</v>
      </c>
      <c r="V63" s="31">
        <f t="shared" si="12"/>
        <v>100</v>
      </c>
      <c r="W63" s="31"/>
      <c r="X63" s="31"/>
      <c r="Y63" s="31"/>
      <c r="Z63" s="31"/>
      <c r="AA63" s="31"/>
      <c r="AB63" s="31"/>
      <c r="AC63" s="31"/>
      <c r="AD63" s="69">
        <v>8582.89041</v>
      </c>
      <c r="AE63" s="69"/>
      <c r="AF63" s="444"/>
      <c r="AG63" s="445"/>
      <c r="AH63" s="445"/>
      <c r="AI63" s="446"/>
    </row>
    <row r="64" spans="1:35" s="78" customFormat="1" ht="66.2" customHeight="1" x14ac:dyDescent="0.25">
      <c r="A64" s="53">
        <v>2501</v>
      </c>
      <c r="B64" s="52" t="s">
        <v>151</v>
      </c>
      <c r="C64" s="73" t="s">
        <v>147</v>
      </c>
      <c r="D64" s="100">
        <v>6</v>
      </c>
      <c r="E64" s="73" t="s">
        <v>148</v>
      </c>
      <c r="F64" s="74">
        <v>526500</v>
      </c>
      <c r="G64" s="75">
        <v>527100</v>
      </c>
      <c r="H64" s="31">
        <f>((G64-F64)/F64*100)</f>
        <v>0.11396011396011395</v>
      </c>
      <c r="I64" s="31">
        <v>1</v>
      </c>
      <c r="J64" s="31"/>
      <c r="K64" s="75">
        <v>527700</v>
      </c>
      <c r="L64" s="31">
        <f>(K64/G64*100)</f>
        <v>100.11383039271486</v>
      </c>
      <c r="M64" s="31"/>
      <c r="N64" s="31"/>
      <c r="O64" s="31">
        <v>64858.439100000003</v>
      </c>
      <c r="P64" s="31">
        <v>69230.595350000003</v>
      </c>
      <c r="Q64" s="31">
        <f t="shared" si="11"/>
        <v>6.7410753491290842</v>
      </c>
      <c r="R64" s="31">
        <v>1</v>
      </c>
      <c r="S64" s="31"/>
      <c r="T64" s="31">
        <v>69230.595350000003</v>
      </c>
      <c r="U64" s="31">
        <v>69230.595350000003</v>
      </c>
      <c r="V64" s="31">
        <f t="shared" si="12"/>
        <v>100</v>
      </c>
      <c r="W64" s="31"/>
      <c r="X64" s="31"/>
      <c r="Y64" s="31">
        <f>O64/F64</f>
        <v>0.12318791851851853</v>
      </c>
      <c r="Z64" s="31">
        <f>P64/G64</f>
        <v>0.13134243094289511</v>
      </c>
      <c r="AA64" s="31">
        <f>((Z64-Y64)/Y64*100)</f>
        <v>6.6195715638711201</v>
      </c>
      <c r="AB64" s="31"/>
      <c r="AC64" s="31"/>
      <c r="AD64" s="82">
        <f>T64-U64</f>
        <v>0</v>
      </c>
      <c r="AE64" s="69"/>
      <c r="AF64" s="444"/>
      <c r="AG64" s="445"/>
      <c r="AH64" s="445"/>
      <c r="AI64" s="446"/>
    </row>
    <row r="65" spans="1:35" s="78" customFormat="1" ht="52.35" customHeight="1" x14ac:dyDescent="0.25">
      <c r="A65" s="53">
        <v>2501</v>
      </c>
      <c r="B65" s="52" t="s">
        <v>152</v>
      </c>
      <c r="C65" s="29"/>
      <c r="D65" s="28"/>
      <c r="E65" s="29"/>
      <c r="F65" s="75"/>
      <c r="G65" s="75"/>
      <c r="H65" s="31"/>
      <c r="I65" s="31"/>
      <c r="J65" s="31"/>
      <c r="K65" s="75"/>
      <c r="L65" s="31"/>
      <c r="M65" s="31"/>
      <c r="N65" s="31"/>
      <c r="O65" s="31">
        <v>69429.858959999998</v>
      </c>
      <c r="P65" s="31">
        <v>93586.971990000005</v>
      </c>
      <c r="Q65" s="31">
        <f t="shared" si="11"/>
        <v>34.793550486567213</v>
      </c>
      <c r="R65" s="31"/>
      <c r="S65" s="31"/>
      <c r="T65" s="31">
        <v>93586.971990000005</v>
      </c>
      <c r="U65" s="31">
        <v>93586.971990000005</v>
      </c>
      <c r="V65" s="31">
        <f t="shared" si="12"/>
        <v>100</v>
      </c>
      <c r="W65" s="31"/>
      <c r="X65" s="31"/>
      <c r="Y65" s="31"/>
      <c r="Z65" s="31"/>
      <c r="AA65" s="31"/>
      <c r="AB65" s="31"/>
      <c r="AC65" s="31"/>
      <c r="AD65" s="69">
        <v>4863.7650999999996</v>
      </c>
      <c r="AE65" s="69"/>
      <c r="AF65" s="444"/>
      <c r="AG65" s="445"/>
      <c r="AH65" s="445"/>
      <c r="AI65" s="446"/>
    </row>
    <row r="66" spans="1:35" s="78" customFormat="1" ht="75.75" customHeight="1" x14ac:dyDescent="0.25">
      <c r="A66" s="53"/>
      <c r="B66" s="52" t="s">
        <v>153</v>
      </c>
      <c r="C66" s="53"/>
      <c r="D66" s="16">
        <v>16</v>
      </c>
      <c r="E66" s="16"/>
      <c r="F66" s="75">
        <f>F62+F64</f>
        <v>1474400</v>
      </c>
      <c r="G66" s="75">
        <f>G62+G64</f>
        <v>1470500</v>
      </c>
      <c r="H66" s="31">
        <f>((G66-F66)/F66*100)</f>
        <v>-0.26451437873033096</v>
      </c>
      <c r="I66" s="31"/>
      <c r="J66" s="31"/>
      <c r="K66" s="75">
        <f>K62+K64</f>
        <v>1471100</v>
      </c>
      <c r="L66" s="31">
        <f>(K66/G66*100)</f>
        <v>100.04080244814688</v>
      </c>
      <c r="M66" s="31"/>
      <c r="N66" s="31"/>
      <c r="O66" s="31">
        <v>234569.4</v>
      </c>
      <c r="P66" s="31">
        <v>250381.9</v>
      </c>
      <c r="Q66" s="31">
        <f t="shared" si="11"/>
        <v>6.7410753491290842</v>
      </c>
      <c r="R66" s="31"/>
      <c r="S66" s="31"/>
      <c r="T66" s="31">
        <v>250381.9</v>
      </c>
      <c r="U66" s="31">
        <v>250381.9</v>
      </c>
      <c r="V66" s="31">
        <f t="shared" si="12"/>
        <v>100</v>
      </c>
      <c r="W66" s="31"/>
      <c r="X66" s="31"/>
      <c r="Y66" s="31">
        <f>O66/F66</f>
        <v>0.15909481823114488</v>
      </c>
      <c r="Z66" s="31">
        <f>P66/G66</f>
        <v>0.17026990819449167</v>
      </c>
      <c r="AA66" s="31">
        <f>((Z66-Y66)/Y66*100)</f>
        <v>7.0241696666140205</v>
      </c>
      <c r="AB66" s="31"/>
      <c r="AC66" s="31"/>
      <c r="AD66" s="82">
        <f>T66-U66</f>
        <v>0</v>
      </c>
      <c r="AE66" s="69"/>
      <c r="AF66" s="444"/>
      <c r="AG66" s="445"/>
      <c r="AH66" s="445"/>
      <c r="AI66" s="446"/>
    </row>
    <row r="67" spans="1:35" s="78" customFormat="1" ht="63.75" customHeight="1" x14ac:dyDescent="0.25">
      <c r="A67" s="53"/>
      <c r="B67" s="52" t="s">
        <v>154</v>
      </c>
      <c r="C67" s="29" t="s">
        <v>76</v>
      </c>
      <c r="D67" s="29" t="s">
        <v>76</v>
      </c>
      <c r="E67" s="53"/>
      <c r="F67" s="30" t="s">
        <v>76</v>
      </c>
      <c r="G67" s="30" t="s">
        <v>76</v>
      </c>
      <c r="H67" s="30" t="s">
        <v>76</v>
      </c>
      <c r="I67" s="31"/>
      <c r="J67" s="31"/>
      <c r="K67" s="30" t="s">
        <v>76</v>
      </c>
      <c r="L67" s="30" t="s">
        <v>76</v>
      </c>
      <c r="M67" s="31"/>
      <c r="N67" s="31"/>
      <c r="O67" s="31">
        <v>261703.2</v>
      </c>
      <c r="P67" s="31">
        <v>352759.03279999999</v>
      </c>
      <c r="Q67" s="31">
        <f t="shared" si="11"/>
        <v>34.793549639438865</v>
      </c>
      <c r="R67" s="31"/>
      <c r="S67" s="31"/>
      <c r="T67" s="31">
        <v>352759.03279999999</v>
      </c>
      <c r="U67" s="31">
        <v>309131.94216999999</v>
      </c>
      <c r="V67" s="31">
        <f t="shared" si="12"/>
        <v>87.632608502264844</v>
      </c>
      <c r="W67" s="31"/>
      <c r="X67" s="31"/>
      <c r="Y67" s="31"/>
      <c r="Z67" s="31"/>
      <c r="AA67" s="31"/>
      <c r="AB67" s="31"/>
      <c r="AC67" s="31"/>
      <c r="AD67" s="82">
        <f>AD63+AD65</f>
        <v>13446.655510000001</v>
      </c>
      <c r="AE67" s="82"/>
      <c r="AF67" s="444"/>
      <c r="AG67" s="445"/>
      <c r="AH67" s="445"/>
      <c r="AI67" s="446"/>
    </row>
    <row r="68" spans="1:35" s="78" customFormat="1" ht="58.5" customHeight="1" x14ac:dyDescent="0.25">
      <c r="A68" s="53"/>
      <c r="B68" s="26" t="s">
        <v>155</v>
      </c>
      <c r="C68" s="29" t="s">
        <v>76</v>
      </c>
      <c r="D68" s="28">
        <f>D66</f>
        <v>16</v>
      </c>
      <c r="E68" s="29" t="s">
        <v>76</v>
      </c>
      <c r="F68" s="75">
        <f>F66</f>
        <v>1474400</v>
      </c>
      <c r="G68" s="75">
        <f>G66</f>
        <v>1470500</v>
      </c>
      <c r="H68" s="31">
        <f>((G68-F68)/F68*100)</f>
        <v>-0.26451437873033096</v>
      </c>
      <c r="I68" s="31"/>
      <c r="J68" s="31"/>
      <c r="K68" s="75">
        <f>K66</f>
        <v>1471100</v>
      </c>
      <c r="L68" s="31">
        <f>(K68/G68*100)</f>
        <v>100.04080244814688</v>
      </c>
      <c r="M68" s="31"/>
      <c r="N68" s="31"/>
      <c r="O68" s="31">
        <v>496272.6</v>
      </c>
      <c r="P68" s="31">
        <v>603140.93279999995</v>
      </c>
      <c r="Q68" s="31">
        <f t="shared" si="11"/>
        <v>21.534199712013109</v>
      </c>
      <c r="R68" s="31"/>
      <c r="S68" s="31"/>
      <c r="T68" s="31">
        <v>603140.93279999995</v>
      </c>
      <c r="U68" s="31">
        <v>559513.84216999996</v>
      </c>
      <c r="V68" s="31">
        <f t="shared" si="12"/>
        <v>92.766683828360456</v>
      </c>
      <c r="W68" s="31"/>
      <c r="X68" s="31"/>
      <c r="Y68" s="31">
        <f t="shared" ref="Y68:Z70" si="13">O68/F68</f>
        <v>0.33659291915355399</v>
      </c>
      <c r="Z68" s="31">
        <f t="shared" si="13"/>
        <v>0.41016044393063583</v>
      </c>
      <c r="AA68" s="31">
        <f>((Z68-Y68)/Y68*100)</f>
        <v>21.856527749331608</v>
      </c>
      <c r="AB68" s="31"/>
      <c r="AC68" s="31"/>
      <c r="AD68" s="82">
        <f>AD67</f>
        <v>13446.655510000001</v>
      </c>
      <c r="AE68" s="69"/>
      <c r="AF68" s="444"/>
      <c r="AG68" s="445"/>
      <c r="AH68" s="445"/>
      <c r="AI68" s="446"/>
    </row>
    <row r="69" spans="1:35" s="78" customFormat="1" ht="96" customHeight="1" x14ac:dyDescent="0.25">
      <c r="A69" s="53">
        <v>3501</v>
      </c>
      <c r="B69" s="52" t="s">
        <v>156</v>
      </c>
      <c r="C69" s="73" t="s">
        <v>41</v>
      </c>
      <c r="D69" s="100">
        <v>12</v>
      </c>
      <c r="E69" s="73" t="s">
        <v>157</v>
      </c>
      <c r="F69" s="74">
        <v>54</v>
      </c>
      <c r="G69" s="75">
        <v>59</v>
      </c>
      <c r="H69" s="31">
        <f>((G69-F69)/F69*100)</f>
        <v>9.2592592592592595</v>
      </c>
      <c r="I69" s="31"/>
      <c r="J69" s="31"/>
      <c r="K69" s="75">
        <v>60</v>
      </c>
      <c r="L69" s="31">
        <f>(K69/G69*100)</f>
        <v>101.69491525423729</v>
      </c>
      <c r="M69" s="31"/>
      <c r="N69" s="31"/>
      <c r="O69" s="31">
        <v>1079811.1227200001</v>
      </c>
      <c r="P69" s="31">
        <v>1158304.4217399999</v>
      </c>
      <c r="Q69" s="31">
        <f t="shared" si="11"/>
        <v>7.2691693360481775</v>
      </c>
      <c r="R69" s="31"/>
      <c r="S69" s="31"/>
      <c r="T69" s="31">
        <v>1158304.4217399999</v>
      </c>
      <c r="U69" s="31">
        <v>1155120.15732</v>
      </c>
      <c r="V69" s="56">
        <f t="shared" si="12"/>
        <v>99.725092612940514</v>
      </c>
      <c r="W69" s="31"/>
      <c r="X69" s="31"/>
      <c r="Y69" s="31">
        <f t="shared" si="13"/>
        <v>19996.502272592596</v>
      </c>
      <c r="Z69" s="31">
        <f t="shared" si="13"/>
        <v>19632.278334576269</v>
      </c>
      <c r="AA69" s="31">
        <f>((Z69-Y69)/Y69*100)</f>
        <v>-1.8214382348033704</v>
      </c>
      <c r="AB69" s="31"/>
      <c r="AC69" s="31"/>
      <c r="AD69" s="82">
        <f>T69-U69</f>
        <v>3184.2644199999049</v>
      </c>
      <c r="AE69" s="69"/>
      <c r="AF69" s="447" t="s">
        <v>149</v>
      </c>
      <c r="AG69" s="448">
        <v>2.1</v>
      </c>
      <c r="AH69" s="448">
        <v>2.1</v>
      </c>
      <c r="AI69" s="446">
        <f>AH69/AG69*100</f>
        <v>100</v>
      </c>
    </row>
    <row r="70" spans="1:35" s="78" customFormat="1" ht="100.5" customHeight="1" x14ac:dyDescent="0.25">
      <c r="A70" s="53">
        <v>3501</v>
      </c>
      <c r="B70" s="52" t="s">
        <v>158</v>
      </c>
      <c r="C70" s="73" t="s">
        <v>41</v>
      </c>
      <c r="D70" s="100">
        <v>6</v>
      </c>
      <c r="E70" s="73" t="s">
        <v>159</v>
      </c>
      <c r="F70" s="74">
        <v>156</v>
      </c>
      <c r="G70" s="75">
        <v>156</v>
      </c>
      <c r="H70" s="31">
        <f>((G70-F70)/F70*100)</f>
        <v>0</v>
      </c>
      <c r="I70" s="31"/>
      <c r="J70" s="31"/>
      <c r="K70" s="75">
        <v>156</v>
      </c>
      <c r="L70" s="31">
        <f>(K70/G70*100)</f>
        <v>100</v>
      </c>
      <c r="M70" s="31"/>
      <c r="N70" s="31"/>
      <c r="O70" s="31">
        <v>553544.07727999997</v>
      </c>
      <c r="P70" s="31">
        <v>593782.13361000002</v>
      </c>
      <c r="Q70" s="31">
        <f t="shared" si="11"/>
        <v>7.2691693365633068</v>
      </c>
      <c r="R70" s="31"/>
      <c r="S70" s="31"/>
      <c r="T70" s="31">
        <v>593782.13361000002</v>
      </c>
      <c r="U70" s="31">
        <v>592141.75560999999</v>
      </c>
      <c r="V70" s="56">
        <f t="shared" si="12"/>
        <v>99.723740761611154</v>
      </c>
      <c r="W70" s="31"/>
      <c r="X70" s="31"/>
      <c r="Y70" s="31">
        <f t="shared" si="13"/>
        <v>3548.3594697435897</v>
      </c>
      <c r="Z70" s="31">
        <f t="shared" si="13"/>
        <v>3806.2957282692309</v>
      </c>
      <c r="AA70" s="31">
        <f>((Z70-Y70)/Y70*100)</f>
        <v>7.2691693365633041</v>
      </c>
      <c r="AB70" s="31"/>
      <c r="AC70" s="31"/>
      <c r="AD70" s="82">
        <f>T70-U70</f>
        <v>1640.3780000000261</v>
      </c>
      <c r="AE70" s="69"/>
      <c r="AF70" s="447"/>
      <c r="AG70" s="448"/>
      <c r="AH70" s="448"/>
      <c r="AI70" s="446"/>
    </row>
    <row r="71" spans="1:35" s="78" customFormat="1" ht="96.75" customHeight="1" x14ac:dyDescent="0.25">
      <c r="A71" s="53">
        <v>3501</v>
      </c>
      <c r="B71" s="52" t="s">
        <v>160</v>
      </c>
      <c r="C71" s="73" t="s">
        <v>41</v>
      </c>
      <c r="D71" s="100">
        <v>12</v>
      </c>
      <c r="E71" s="73" t="s">
        <v>157</v>
      </c>
      <c r="F71" s="74"/>
      <c r="G71" s="75"/>
      <c r="H71" s="31"/>
      <c r="I71" s="31"/>
      <c r="J71" s="31"/>
      <c r="K71" s="75"/>
      <c r="L71" s="31"/>
      <c r="M71" s="31"/>
      <c r="N71" s="31"/>
      <c r="O71" s="31">
        <v>6121.3</v>
      </c>
      <c r="P71" s="31">
        <v>2248.4839999999999</v>
      </c>
      <c r="Q71" s="31">
        <f t="shared" si="11"/>
        <v>-63.267867936549429</v>
      </c>
      <c r="R71" s="31"/>
      <c r="S71" s="31"/>
      <c r="T71" s="31">
        <v>2248.4839999999999</v>
      </c>
      <c r="U71" s="31">
        <v>2248.4839999999999</v>
      </c>
      <c r="V71" s="31">
        <f>T71/P71*100</f>
        <v>100</v>
      </c>
      <c r="W71" s="31"/>
      <c r="X71" s="31"/>
      <c r="Y71" s="31"/>
      <c r="Z71" s="31"/>
      <c r="AA71" s="31"/>
      <c r="AB71" s="31"/>
      <c r="AC71" s="31"/>
      <c r="AD71" s="82">
        <f>T71-U71</f>
        <v>0</v>
      </c>
      <c r="AE71" s="69"/>
      <c r="AF71" s="447"/>
      <c r="AG71" s="448"/>
      <c r="AH71" s="448"/>
      <c r="AI71" s="446"/>
    </row>
    <row r="72" spans="1:35" s="78" customFormat="1" ht="72" customHeight="1" x14ac:dyDescent="0.25">
      <c r="A72" s="53"/>
      <c r="B72" s="52" t="s">
        <v>161</v>
      </c>
      <c r="C72" s="53"/>
      <c r="D72" s="16">
        <v>16</v>
      </c>
      <c r="E72" s="16"/>
      <c r="F72" s="75">
        <f>F69+F70</f>
        <v>210</v>
      </c>
      <c r="G72" s="75">
        <f>G69+G70</f>
        <v>215</v>
      </c>
      <c r="H72" s="31">
        <f>((G72-F72)/F72*100)</f>
        <v>2.3809523809523809</v>
      </c>
      <c r="I72" s="31"/>
      <c r="J72" s="31"/>
      <c r="K72" s="75">
        <f>K69+K70</f>
        <v>216</v>
      </c>
      <c r="L72" s="31">
        <f>(K72/G72*100)</f>
        <v>100.46511627906978</v>
      </c>
      <c r="M72" s="31"/>
      <c r="N72" s="31"/>
      <c r="O72" s="31">
        <v>1633355.2</v>
      </c>
      <c r="P72" s="31">
        <v>1752086.55535</v>
      </c>
      <c r="Q72" s="31">
        <f t="shared" si="11"/>
        <v>7.2691693362227694</v>
      </c>
      <c r="R72" s="31"/>
      <c r="S72" s="31"/>
      <c r="T72" s="31">
        <v>1752086.55535</v>
      </c>
      <c r="U72" s="31">
        <v>1747261.9129300001</v>
      </c>
      <c r="V72" s="31">
        <f>T72/P72*100</f>
        <v>100</v>
      </c>
      <c r="W72" s="31"/>
      <c r="X72" s="31"/>
      <c r="Y72" s="31">
        <f>O72/F72</f>
        <v>7777.8819047619045</v>
      </c>
      <c r="Z72" s="31">
        <f>P72/G72</f>
        <v>8149.2397923255812</v>
      </c>
      <c r="AA72" s="31">
        <f>((Z72-Y72)/Y72*100)</f>
        <v>4.7745374911943292</v>
      </c>
      <c r="AB72" s="31"/>
      <c r="AC72" s="31"/>
      <c r="AD72" s="82">
        <f>T72-U72</f>
        <v>4824.642419999931</v>
      </c>
      <c r="AE72" s="69"/>
      <c r="AF72" s="447"/>
      <c r="AG72" s="448"/>
      <c r="AH72" s="448"/>
      <c r="AI72" s="446"/>
    </row>
    <row r="73" spans="1:35" s="78" customFormat="1" ht="72" customHeight="1" x14ac:dyDescent="0.25">
      <c r="A73" s="53"/>
      <c r="B73" s="52" t="s">
        <v>162</v>
      </c>
      <c r="C73" s="29" t="s">
        <v>76</v>
      </c>
      <c r="D73" s="29" t="s">
        <v>76</v>
      </c>
      <c r="E73" s="53"/>
      <c r="F73" s="30" t="s">
        <v>76</v>
      </c>
      <c r="G73" s="30" t="s">
        <v>76</v>
      </c>
      <c r="H73" s="30" t="s">
        <v>76</v>
      </c>
      <c r="I73" s="31"/>
      <c r="J73" s="31"/>
      <c r="K73" s="30" t="s">
        <v>76</v>
      </c>
      <c r="L73" s="30" t="s">
        <v>76</v>
      </c>
      <c r="M73" s="31"/>
      <c r="N73" s="31"/>
      <c r="O73" s="31">
        <v>6121.3</v>
      </c>
      <c r="P73" s="31">
        <v>2248.4839999999999</v>
      </c>
      <c r="Q73" s="31">
        <f t="shared" si="11"/>
        <v>-63.267867936549429</v>
      </c>
      <c r="R73" s="31"/>
      <c r="S73" s="31"/>
      <c r="T73" s="31">
        <v>2248.4839999999999</v>
      </c>
      <c r="U73" s="31">
        <v>2248.4839999999999</v>
      </c>
      <c r="V73" s="31">
        <f>U73/P73*100</f>
        <v>100</v>
      </c>
      <c r="W73" s="31"/>
      <c r="X73" s="31"/>
      <c r="Y73" s="31"/>
      <c r="Z73" s="31"/>
      <c r="AA73" s="31"/>
      <c r="AB73" s="31"/>
      <c r="AC73" s="31"/>
      <c r="AD73" s="82">
        <f>AD68+AD70</f>
        <v>15087.033510000027</v>
      </c>
      <c r="AE73" s="82"/>
      <c r="AF73" s="447"/>
      <c r="AG73" s="448"/>
      <c r="AH73" s="448"/>
      <c r="AI73" s="446"/>
    </row>
    <row r="74" spans="1:35" s="78" customFormat="1" ht="73.349999999999994" customHeight="1" x14ac:dyDescent="0.25">
      <c r="A74" s="53"/>
      <c r="B74" s="26" t="s">
        <v>163</v>
      </c>
      <c r="C74" s="29" t="s">
        <v>76</v>
      </c>
      <c r="D74" s="28">
        <v>16</v>
      </c>
      <c r="E74" s="29" t="s">
        <v>76</v>
      </c>
      <c r="F74" s="75">
        <f>F72</f>
        <v>210</v>
      </c>
      <c r="G74" s="75">
        <f>G72</f>
        <v>215</v>
      </c>
      <c r="H74" s="31">
        <f>((G74-F74)/F74*100)</f>
        <v>2.3809523809523809</v>
      </c>
      <c r="I74" s="31"/>
      <c r="J74" s="31"/>
      <c r="K74" s="75">
        <f>K72</f>
        <v>216</v>
      </c>
      <c r="L74" s="31">
        <f>(K74/G74*100)</f>
        <v>100.46511627906978</v>
      </c>
      <c r="M74" s="31"/>
      <c r="N74" s="31"/>
      <c r="O74" s="31">
        <v>1633355.2</v>
      </c>
      <c r="P74" s="31">
        <v>1752086.55535</v>
      </c>
      <c r="Q74" s="31">
        <f t="shared" si="11"/>
        <v>7.2691693362227694</v>
      </c>
      <c r="R74" s="31"/>
      <c r="S74" s="31"/>
      <c r="T74" s="31">
        <v>1752086.55535</v>
      </c>
      <c r="U74" s="31">
        <v>1747261.9129300001</v>
      </c>
      <c r="V74" s="31">
        <f>T74/P74*100</f>
        <v>100</v>
      </c>
      <c r="W74" s="31"/>
      <c r="X74" s="31"/>
      <c r="Y74" s="31">
        <f t="shared" ref="Y74:Z76" si="14">O74/F74</f>
        <v>7777.8819047619045</v>
      </c>
      <c r="Z74" s="31">
        <f t="shared" si="14"/>
        <v>8149.2397923255812</v>
      </c>
      <c r="AA74" s="31">
        <f>((Z74-Y74)/Y74*100)</f>
        <v>4.7745374911943292</v>
      </c>
      <c r="AB74" s="31"/>
      <c r="AC74" s="31"/>
      <c r="AD74" s="82">
        <f t="shared" ref="AD74:AD79" si="15">T74-U74</f>
        <v>4824.642419999931</v>
      </c>
      <c r="AE74" s="69"/>
      <c r="AF74" s="447"/>
      <c r="AG74" s="448"/>
      <c r="AH74" s="448"/>
      <c r="AI74" s="446"/>
    </row>
    <row r="75" spans="1:35" s="101" customFormat="1" ht="57" customHeight="1" x14ac:dyDescent="0.25">
      <c r="A75" s="15">
        <v>3613</v>
      </c>
      <c r="B75" s="52" t="s">
        <v>164</v>
      </c>
      <c r="C75" s="53" t="s">
        <v>41</v>
      </c>
      <c r="D75" s="16">
        <v>1</v>
      </c>
      <c r="E75" s="53" t="s">
        <v>165</v>
      </c>
      <c r="F75" s="75">
        <v>6000</v>
      </c>
      <c r="G75" s="75">
        <v>6000</v>
      </c>
      <c r="H75" s="31">
        <f>((G75-F75)/F75*100)</f>
        <v>0</v>
      </c>
      <c r="I75" s="30"/>
      <c r="J75" s="30"/>
      <c r="K75" s="75">
        <v>6000</v>
      </c>
      <c r="L75" s="31">
        <f>(K75/G75*100)</f>
        <v>100</v>
      </c>
      <c r="M75" s="30"/>
      <c r="N75" s="30"/>
      <c r="O75" s="30">
        <v>3474.6</v>
      </c>
      <c r="P75" s="30">
        <v>3474.6</v>
      </c>
      <c r="Q75" s="31">
        <f t="shared" si="11"/>
        <v>0</v>
      </c>
      <c r="R75" s="30"/>
      <c r="S75" s="30"/>
      <c r="T75" s="30">
        <v>3474.6</v>
      </c>
      <c r="U75" s="30">
        <v>3474.6</v>
      </c>
      <c r="V75" s="31">
        <f>T75/P75*100</f>
        <v>100</v>
      </c>
      <c r="W75" s="30"/>
      <c r="X75" s="30"/>
      <c r="Y75" s="31">
        <f t="shared" si="14"/>
        <v>0.57909999999999995</v>
      </c>
      <c r="Z75" s="31">
        <f t="shared" si="14"/>
        <v>0.57909999999999995</v>
      </c>
      <c r="AA75" s="31">
        <f>((Z75-Y75)/Y75*100)</f>
        <v>0</v>
      </c>
      <c r="AB75" s="30"/>
      <c r="AC75" s="30"/>
      <c r="AD75" s="82">
        <f t="shared" si="15"/>
        <v>0</v>
      </c>
      <c r="AE75" s="94"/>
      <c r="AF75" s="447"/>
      <c r="AG75" s="448"/>
      <c r="AH75" s="448"/>
      <c r="AI75" s="446"/>
    </row>
    <row r="76" spans="1:35" s="36" customFormat="1" ht="0.6" customHeight="1" x14ac:dyDescent="0.25">
      <c r="A76" s="25"/>
      <c r="B76" s="26" t="s">
        <v>166</v>
      </c>
      <c r="C76" s="29" t="s">
        <v>76</v>
      </c>
      <c r="D76" s="28">
        <v>1</v>
      </c>
      <c r="E76" s="29" t="s">
        <v>76</v>
      </c>
      <c r="F76" s="102">
        <f>F75</f>
        <v>6000</v>
      </c>
      <c r="G76" s="102">
        <f>G75</f>
        <v>6000</v>
      </c>
      <c r="H76" s="31">
        <f>((G76-F76)/F76*100)</f>
        <v>0</v>
      </c>
      <c r="I76" s="30"/>
      <c r="J76" s="30"/>
      <c r="K76" s="102">
        <f>K75</f>
        <v>6000</v>
      </c>
      <c r="L76" s="31">
        <f>(K76/G76*100)</f>
        <v>100</v>
      </c>
      <c r="M76" s="30"/>
      <c r="N76" s="30"/>
      <c r="O76" s="30">
        <v>3474.6</v>
      </c>
      <c r="P76" s="30">
        <v>3474.6</v>
      </c>
      <c r="Q76" s="31">
        <f t="shared" si="11"/>
        <v>0</v>
      </c>
      <c r="R76" s="30"/>
      <c r="S76" s="30"/>
      <c r="T76" s="30">
        <v>3474.6</v>
      </c>
      <c r="U76" s="30">
        <v>3451.8</v>
      </c>
      <c r="V76" s="31">
        <f>T76/P76*100</f>
        <v>100</v>
      </c>
      <c r="W76" s="30"/>
      <c r="X76" s="30"/>
      <c r="Y76" s="31">
        <f t="shared" si="14"/>
        <v>0.57909999999999995</v>
      </c>
      <c r="Z76" s="31">
        <f t="shared" si="14"/>
        <v>0.57909999999999995</v>
      </c>
      <c r="AA76" s="31">
        <f>((Z76-Y76)/Y76*100)</f>
        <v>0</v>
      </c>
      <c r="AB76" s="30"/>
      <c r="AC76" s="30"/>
      <c r="AD76" s="82">
        <f t="shared" si="15"/>
        <v>22.799999999999727</v>
      </c>
      <c r="AE76" s="94"/>
      <c r="AF76" s="447"/>
      <c r="AG76" s="448"/>
      <c r="AH76" s="448"/>
      <c r="AI76" s="446"/>
    </row>
    <row r="77" spans="1:35" s="36" customFormat="1" x14ac:dyDescent="0.25">
      <c r="A77" s="25"/>
      <c r="B77" s="26" t="s">
        <v>43</v>
      </c>
      <c r="C77" s="27"/>
      <c r="D77" s="28"/>
      <c r="E77" s="29"/>
      <c r="F77" s="30"/>
      <c r="G77" s="30"/>
      <c r="H77" s="31"/>
      <c r="I77" s="30"/>
      <c r="J77" s="30"/>
      <c r="K77" s="30"/>
      <c r="L77" s="31"/>
      <c r="M77" s="30"/>
      <c r="N77" s="30"/>
      <c r="O77" s="30">
        <v>2953478</v>
      </c>
      <c r="P77" s="30">
        <v>3072761.8302600002</v>
      </c>
      <c r="Q77" s="30">
        <f>(P77-O77)/O77*100</f>
        <v>4.0387580425518728</v>
      </c>
      <c r="R77" s="30"/>
      <c r="S77" s="30"/>
      <c r="T77" s="30">
        <v>3072761.8302600002</v>
      </c>
      <c r="U77" s="30">
        <f>U15+U18+U21+U24+U27+U32+U35+U39+U43+U44+U50+U53+U59+U66+U72+U75</f>
        <v>3066760.70266</v>
      </c>
      <c r="V77" s="30">
        <f>U77/P77*100</f>
        <v>99.804699227226067</v>
      </c>
      <c r="W77" s="30"/>
      <c r="X77" s="30"/>
      <c r="Y77" s="30"/>
      <c r="Z77" s="30"/>
      <c r="AA77" s="30"/>
      <c r="AB77" s="30"/>
      <c r="AC77" s="30"/>
      <c r="AD77" s="103">
        <f t="shared" si="15"/>
        <v>6001.1276000002399</v>
      </c>
      <c r="AE77" s="30"/>
      <c r="AF77" s="33"/>
      <c r="AG77" s="34"/>
      <c r="AH77" s="35"/>
      <c r="AI77" s="104"/>
    </row>
    <row r="78" spans="1:35" s="36" customFormat="1" x14ac:dyDescent="0.25">
      <c r="A78" s="25"/>
      <c r="B78" s="26" t="s">
        <v>44</v>
      </c>
      <c r="C78" s="27"/>
      <c r="D78" s="29"/>
      <c r="E78" s="29"/>
      <c r="F78" s="37"/>
      <c r="G78" s="37"/>
      <c r="H78" s="37"/>
      <c r="I78" s="37"/>
      <c r="J78" s="37"/>
      <c r="K78" s="37"/>
      <c r="L78" s="37"/>
      <c r="M78" s="37"/>
      <c r="N78" s="37"/>
      <c r="O78" s="38">
        <v>381486.9</v>
      </c>
      <c r="P78" s="38">
        <v>487704.67333999998</v>
      </c>
      <c r="Q78" s="30">
        <f>(P78-O78)/O78*100</f>
        <v>27.843098502202814</v>
      </c>
      <c r="R78" s="38"/>
      <c r="S78" s="38"/>
      <c r="T78" s="38">
        <v>487704.67333999998</v>
      </c>
      <c r="U78" s="38">
        <v>425640.98855000001</v>
      </c>
      <c r="V78" s="38">
        <f>U78/P78*100</f>
        <v>87.274330515440283</v>
      </c>
      <c r="W78" s="38"/>
      <c r="X78" s="38"/>
      <c r="Y78" s="38"/>
      <c r="Z78" s="38"/>
      <c r="AA78" s="38"/>
      <c r="AB78" s="38"/>
      <c r="AC78" s="38"/>
      <c r="AD78" s="103">
        <f t="shared" si="15"/>
        <v>62063.68478999997</v>
      </c>
      <c r="AE78" s="94"/>
      <c r="AF78" s="39"/>
      <c r="AG78" s="40"/>
      <c r="AH78" s="40"/>
      <c r="AI78" s="105"/>
    </row>
    <row r="79" spans="1:35" s="36" customFormat="1" ht="32.25" customHeight="1" x14ac:dyDescent="0.25">
      <c r="A79" s="25"/>
      <c r="B79" s="26" t="s">
        <v>45</v>
      </c>
      <c r="C79" s="29"/>
      <c r="D79" s="29"/>
      <c r="E79" s="29"/>
      <c r="F79" s="37"/>
      <c r="G79" s="37"/>
      <c r="H79" s="37"/>
      <c r="I79" s="37"/>
      <c r="J79" s="37"/>
      <c r="K79" s="37"/>
      <c r="L79" s="37"/>
      <c r="M79" s="37"/>
      <c r="N79" s="37"/>
      <c r="O79" s="38">
        <v>3334964.9</v>
      </c>
      <c r="P79" s="38">
        <v>3560466.5035999999</v>
      </c>
      <c r="Q79" s="30">
        <f>(P79-O79)/O79*100</f>
        <v>6.7617384398858293</v>
      </c>
      <c r="R79" s="38"/>
      <c r="S79" s="38"/>
      <c r="T79" s="38">
        <v>3560466.5035999999</v>
      </c>
      <c r="U79" s="38">
        <f>U77+U78</f>
        <v>3492401.6912099998</v>
      </c>
      <c r="V79" s="38">
        <f>U79/P79*100</f>
        <v>98.088317575205963</v>
      </c>
      <c r="W79" s="38"/>
      <c r="X79" s="38"/>
      <c r="Y79" s="38"/>
      <c r="Z79" s="38"/>
      <c r="AA79" s="38"/>
      <c r="AB79" s="38"/>
      <c r="AC79" s="38"/>
      <c r="AD79" s="103">
        <f t="shared" si="15"/>
        <v>68064.812390000094</v>
      </c>
      <c r="AE79" s="94"/>
      <c r="AF79" s="39"/>
      <c r="AG79" s="40"/>
      <c r="AH79" s="40"/>
      <c r="AI79" s="105"/>
    </row>
    <row r="80" spans="1:35" x14ac:dyDescent="0.25"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2"/>
      <c r="S80" s="42"/>
      <c r="T80" s="41"/>
      <c r="U80" s="41"/>
      <c r="V80" s="41"/>
      <c r="W80" s="41"/>
      <c r="X80" s="41"/>
      <c r="Y80" s="43"/>
      <c r="Z80" s="43"/>
      <c r="AA80" s="41"/>
      <c r="AB80" s="41"/>
      <c r="AC80" s="41"/>
      <c r="AD80" s="41"/>
      <c r="AE80" s="41"/>
      <c r="AF80" s="44"/>
    </row>
    <row r="81" spans="6:32" x14ac:dyDescent="0.25"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2"/>
      <c r="S81" s="42"/>
      <c r="T81" s="41"/>
      <c r="U81" s="41"/>
      <c r="V81" s="41"/>
      <c r="W81" s="41"/>
      <c r="X81" s="41"/>
      <c r="Y81" s="43"/>
      <c r="Z81" s="43"/>
      <c r="AA81" s="41"/>
      <c r="AB81" s="41"/>
      <c r="AC81" s="41"/>
      <c r="AD81" s="41"/>
      <c r="AE81" s="41"/>
      <c r="AF81" s="44"/>
    </row>
    <row r="82" spans="6:32" x14ac:dyDescent="0.25"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2"/>
      <c r="S82" s="42"/>
      <c r="T82" s="41"/>
      <c r="U82" s="41"/>
      <c r="V82" s="41"/>
      <c r="W82" s="41"/>
      <c r="X82" s="41"/>
      <c r="Y82" s="43"/>
      <c r="Z82" s="43"/>
      <c r="AA82" s="41"/>
      <c r="AB82" s="41"/>
      <c r="AC82" s="41"/>
      <c r="AD82" s="41"/>
      <c r="AE82" s="41"/>
      <c r="AF82" s="44"/>
    </row>
    <row r="83" spans="6:32" x14ac:dyDescent="0.25"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2"/>
      <c r="S83" s="42"/>
      <c r="T83" s="41"/>
      <c r="U83" s="41"/>
      <c r="V83" s="41"/>
      <c r="W83" s="41"/>
      <c r="X83" s="41"/>
      <c r="Y83" s="43"/>
      <c r="Z83" s="43"/>
      <c r="AA83" s="41"/>
      <c r="AB83" s="41"/>
      <c r="AC83" s="41"/>
      <c r="AD83" s="41"/>
      <c r="AE83" s="41"/>
      <c r="AF83" s="44"/>
    </row>
  </sheetData>
  <mergeCells count="52"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Q5:Q6"/>
    <mergeCell ref="R5:S5"/>
    <mergeCell ref="T5:T6"/>
    <mergeCell ref="U5:U6"/>
    <mergeCell ref="V5:V6"/>
    <mergeCell ref="W5:X5"/>
    <mergeCell ref="AF8:AF15"/>
    <mergeCell ref="AG8:AG15"/>
    <mergeCell ref="AH8:AH15"/>
    <mergeCell ref="AI8:AI15"/>
    <mergeCell ref="AF47:AF49"/>
    <mergeCell ref="AG47:AG49"/>
    <mergeCell ref="AH47:AH49"/>
    <mergeCell ref="AI47:AI49"/>
    <mergeCell ref="AF56:AF58"/>
    <mergeCell ref="AG56:AG58"/>
    <mergeCell ref="AH56:AH58"/>
    <mergeCell ref="AI56:AI58"/>
    <mergeCell ref="AF62:AF68"/>
    <mergeCell ref="AG62:AG68"/>
    <mergeCell ref="AH62:AH68"/>
    <mergeCell ref="AI62:AI68"/>
    <mergeCell ref="AF69:AF76"/>
    <mergeCell ref="AG69:AG76"/>
    <mergeCell ref="AH69:AH76"/>
    <mergeCell ref="AI69:AI76"/>
  </mergeCells>
  <pageMargins left="0.70833333333333304" right="0.70833333333333304" top="0.74861111111111101" bottom="0.74791666666666701" header="0.31527777777777799" footer="0.51180555555555496"/>
  <pageSetup paperSize="8" scale="35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F6D19"/>
    <pageSetUpPr fitToPage="1"/>
  </sheetPr>
  <dimension ref="A1:AMK30"/>
  <sheetViews>
    <sheetView view="pageBreakPreview" zoomScale="55" zoomScaleNormal="40" zoomScalePageLayoutView="55" workbookViewId="0">
      <selection activeCell="Y8" sqref="Y8"/>
    </sheetView>
  </sheetViews>
  <sheetFormatPr defaultRowHeight="15" x14ac:dyDescent="0.25"/>
  <cols>
    <col min="1" max="1" width="14.28515625" style="106" customWidth="1"/>
    <col min="2" max="2" width="46.5703125" style="107" customWidth="1"/>
    <col min="3" max="3" width="15.140625" style="108" customWidth="1"/>
    <col min="4" max="4" width="14.28515625" style="108" customWidth="1"/>
    <col min="5" max="5" width="21.28515625" style="109" customWidth="1"/>
    <col min="6" max="6" width="13.7109375" style="108" customWidth="1"/>
    <col min="7" max="7" width="12.42578125" style="108" customWidth="1"/>
    <col min="8" max="8" width="18.28515625" style="110" customWidth="1"/>
    <col min="9" max="10" width="13.7109375" style="111" customWidth="1"/>
    <col min="11" max="11" width="13" style="108" customWidth="1"/>
    <col min="12" max="12" width="12.28515625" style="110" customWidth="1"/>
    <col min="13" max="13" width="11" style="111" customWidth="1"/>
    <col min="14" max="14" width="9.7109375" style="111" customWidth="1"/>
    <col min="15" max="15" width="14.42578125" style="112" customWidth="1"/>
    <col min="16" max="16" width="15" style="110" customWidth="1"/>
    <col min="17" max="17" width="14.85546875" style="110" customWidth="1"/>
    <col min="18" max="18" width="12.140625" style="111" customWidth="1"/>
    <col min="19" max="19" width="16" style="111" customWidth="1"/>
    <col min="20" max="20" width="12.7109375" style="110" customWidth="1"/>
    <col min="21" max="21" width="13.42578125" style="110" customWidth="1"/>
    <col min="22" max="22" width="12.7109375" style="110" customWidth="1"/>
    <col min="23" max="23" width="10.140625" style="111" customWidth="1"/>
    <col min="24" max="24" width="10.7109375" style="111" customWidth="1"/>
    <col min="25" max="25" width="14" style="110" customWidth="1"/>
    <col min="26" max="26" width="13.5703125" style="110" customWidth="1"/>
    <col min="27" max="27" width="15.28515625" style="110" customWidth="1"/>
    <col min="28" max="28" width="12" style="111" customWidth="1"/>
    <col min="29" max="29" width="15.5703125" style="111" customWidth="1"/>
    <col min="30" max="30" width="17.140625" style="110" customWidth="1"/>
    <col min="31" max="31" width="15.28515625" style="110" customWidth="1"/>
    <col min="32" max="32" width="57" style="113" customWidth="1"/>
    <col min="33" max="33" width="11.5703125" style="114" customWidth="1"/>
    <col min="34" max="34" width="14" style="114" customWidth="1"/>
    <col min="35" max="35" width="14.140625" style="109" customWidth="1"/>
    <col min="36" max="1025" width="8.85546875" style="115" customWidth="1"/>
  </cols>
  <sheetData>
    <row r="1" spans="1:36" ht="32.25" customHeight="1" x14ac:dyDescent="0.25">
      <c r="A1" s="453" t="s">
        <v>167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</row>
    <row r="2" spans="1:36" x14ac:dyDescent="0.25">
      <c r="AD2" s="116"/>
      <c r="AE2" s="117"/>
      <c r="AF2" s="118"/>
      <c r="AG2" s="119"/>
      <c r="AH2" s="119"/>
    </row>
    <row r="3" spans="1:36" s="120" customFormat="1" ht="13.15" customHeight="1" x14ac:dyDescent="0.2">
      <c r="A3" s="348" t="s">
        <v>1</v>
      </c>
      <c r="B3" s="348" t="s">
        <v>2</v>
      </c>
      <c r="C3" s="348" t="s">
        <v>3</v>
      </c>
      <c r="D3" s="348" t="s">
        <v>53</v>
      </c>
      <c r="E3" s="348" t="s">
        <v>5</v>
      </c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9" t="s">
        <v>6</v>
      </c>
      <c r="Z3" s="349"/>
      <c r="AA3" s="349"/>
      <c r="AB3" s="349"/>
      <c r="AC3" s="349"/>
      <c r="AD3" s="348" t="s">
        <v>54</v>
      </c>
      <c r="AE3" s="348" t="s">
        <v>55</v>
      </c>
      <c r="AF3" s="348" t="s">
        <v>9</v>
      </c>
      <c r="AG3" s="348"/>
      <c r="AH3" s="348"/>
      <c r="AI3" s="348"/>
    </row>
    <row r="4" spans="1:36" s="120" customFormat="1" ht="41.25" customHeight="1" x14ac:dyDescent="0.2">
      <c r="A4" s="348"/>
      <c r="B4" s="348"/>
      <c r="C4" s="348"/>
      <c r="D4" s="348"/>
      <c r="E4" s="350" t="s">
        <v>10</v>
      </c>
      <c r="F4" s="350"/>
      <c r="G4" s="350"/>
      <c r="H4" s="350"/>
      <c r="I4" s="350"/>
      <c r="J4" s="350"/>
      <c r="K4" s="350"/>
      <c r="L4" s="350"/>
      <c r="M4" s="350"/>
      <c r="N4" s="350"/>
      <c r="O4" s="351" t="s">
        <v>11</v>
      </c>
      <c r="P4" s="351"/>
      <c r="Q4" s="351"/>
      <c r="R4" s="351"/>
      <c r="S4" s="351"/>
      <c r="T4" s="351"/>
      <c r="U4" s="351"/>
      <c r="V4" s="351"/>
      <c r="W4" s="351"/>
      <c r="X4" s="351"/>
      <c r="Y4" s="346" t="s">
        <v>12</v>
      </c>
      <c r="Z4" s="346" t="s">
        <v>13</v>
      </c>
      <c r="AA4" s="346" t="s">
        <v>14</v>
      </c>
      <c r="AB4" s="346" t="s">
        <v>15</v>
      </c>
      <c r="AC4" s="346"/>
      <c r="AD4" s="348"/>
      <c r="AE4" s="348"/>
      <c r="AF4" s="348"/>
      <c r="AG4" s="348"/>
      <c r="AH4" s="348"/>
      <c r="AI4" s="348"/>
    </row>
    <row r="5" spans="1:36" s="120" customFormat="1" ht="113.25" customHeight="1" x14ac:dyDescent="0.2">
      <c r="A5" s="348"/>
      <c r="B5" s="348"/>
      <c r="C5" s="348"/>
      <c r="D5" s="348"/>
      <c r="E5" s="346" t="s">
        <v>16</v>
      </c>
      <c r="F5" s="346" t="s">
        <v>56</v>
      </c>
      <c r="G5" s="346" t="s">
        <v>57</v>
      </c>
      <c r="H5" s="346" t="s">
        <v>19</v>
      </c>
      <c r="I5" s="346" t="s">
        <v>20</v>
      </c>
      <c r="J5" s="346"/>
      <c r="K5" s="346" t="s">
        <v>21</v>
      </c>
      <c r="L5" s="346" t="s">
        <v>22</v>
      </c>
      <c r="M5" s="346" t="s">
        <v>23</v>
      </c>
      <c r="N5" s="346"/>
      <c r="O5" s="346" t="s">
        <v>58</v>
      </c>
      <c r="P5" s="346" t="s">
        <v>59</v>
      </c>
      <c r="Q5" s="346" t="s">
        <v>26</v>
      </c>
      <c r="R5" s="356" t="s">
        <v>27</v>
      </c>
      <c r="S5" s="356"/>
      <c r="T5" s="346" t="s">
        <v>60</v>
      </c>
      <c r="U5" s="346" t="s">
        <v>61</v>
      </c>
      <c r="V5" s="346" t="s">
        <v>29</v>
      </c>
      <c r="W5" s="346" t="s">
        <v>23</v>
      </c>
      <c r="X5" s="346"/>
      <c r="Y5" s="346"/>
      <c r="Z5" s="346"/>
      <c r="AA5" s="346"/>
      <c r="AB5" s="346"/>
      <c r="AC5" s="346"/>
      <c r="AD5" s="348"/>
      <c r="AE5" s="348"/>
      <c r="AF5" s="348"/>
      <c r="AG5" s="348"/>
      <c r="AH5" s="348"/>
      <c r="AI5" s="348"/>
    </row>
    <row r="6" spans="1:36" s="120" customFormat="1" ht="79.5" customHeight="1" x14ac:dyDescent="0.2">
      <c r="A6" s="348"/>
      <c r="B6" s="348"/>
      <c r="C6" s="348"/>
      <c r="D6" s="348"/>
      <c r="E6" s="346"/>
      <c r="F6" s="346"/>
      <c r="G6" s="346"/>
      <c r="H6" s="346"/>
      <c r="I6" s="10" t="s">
        <v>30</v>
      </c>
      <c r="J6" s="11" t="s">
        <v>31</v>
      </c>
      <c r="K6" s="346"/>
      <c r="L6" s="346"/>
      <c r="M6" s="10" t="s">
        <v>32</v>
      </c>
      <c r="N6" s="11" t="s">
        <v>33</v>
      </c>
      <c r="O6" s="346"/>
      <c r="P6" s="346"/>
      <c r="Q6" s="346"/>
      <c r="R6" s="10" t="s">
        <v>34</v>
      </c>
      <c r="S6" s="11" t="s">
        <v>31</v>
      </c>
      <c r="T6" s="346"/>
      <c r="U6" s="346"/>
      <c r="V6" s="346"/>
      <c r="W6" s="10" t="s">
        <v>32</v>
      </c>
      <c r="X6" s="11" t="s">
        <v>33</v>
      </c>
      <c r="Y6" s="346"/>
      <c r="Z6" s="346"/>
      <c r="AA6" s="346"/>
      <c r="AB6" s="12" t="s">
        <v>30</v>
      </c>
      <c r="AC6" s="12" t="s">
        <v>31</v>
      </c>
      <c r="AD6" s="348"/>
      <c r="AE6" s="348"/>
      <c r="AF6" s="12" t="s">
        <v>35</v>
      </c>
      <c r="AG6" s="12" t="s">
        <v>62</v>
      </c>
      <c r="AH6" s="12" t="s">
        <v>168</v>
      </c>
      <c r="AI6" s="12" t="s">
        <v>38</v>
      </c>
    </row>
    <row r="7" spans="1:36" s="126" customFormat="1" x14ac:dyDescent="0.25">
      <c r="A7" s="121">
        <v>1</v>
      </c>
      <c r="B7" s="122">
        <v>2</v>
      </c>
      <c r="C7" s="123">
        <v>3</v>
      </c>
      <c r="D7" s="123">
        <v>4</v>
      </c>
      <c r="E7" s="121">
        <v>5</v>
      </c>
      <c r="F7" s="121">
        <v>6</v>
      </c>
      <c r="G7" s="121">
        <v>7</v>
      </c>
      <c r="H7" s="121">
        <v>8</v>
      </c>
      <c r="I7" s="121">
        <v>9</v>
      </c>
      <c r="J7" s="121">
        <v>10</v>
      </c>
      <c r="K7" s="121">
        <v>11</v>
      </c>
      <c r="L7" s="121">
        <v>12</v>
      </c>
      <c r="M7" s="121">
        <v>13</v>
      </c>
      <c r="N7" s="121">
        <v>14</v>
      </c>
      <c r="O7" s="124">
        <v>15</v>
      </c>
      <c r="P7" s="121">
        <v>16</v>
      </c>
      <c r="Q7" s="121">
        <v>17</v>
      </c>
      <c r="R7" s="121">
        <v>18</v>
      </c>
      <c r="S7" s="121">
        <v>19</v>
      </c>
      <c r="T7" s="121">
        <v>20</v>
      </c>
      <c r="U7" s="121">
        <v>21</v>
      </c>
      <c r="V7" s="121">
        <v>22</v>
      </c>
      <c r="W7" s="121">
        <v>23</v>
      </c>
      <c r="X7" s="121">
        <v>24</v>
      </c>
      <c r="Y7" s="121">
        <v>25</v>
      </c>
      <c r="Z7" s="121">
        <v>26</v>
      </c>
      <c r="AA7" s="121">
        <v>27</v>
      </c>
      <c r="AB7" s="121">
        <v>28</v>
      </c>
      <c r="AC7" s="121">
        <v>29</v>
      </c>
      <c r="AD7" s="121">
        <v>30</v>
      </c>
      <c r="AE7" s="121">
        <v>31</v>
      </c>
      <c r="AF7" s="121">
        <v>32</v>
      </c>
      <c r="AG7" s="121">
        <v>33</v>
      </c>
      <c r="AH7" s="121">
        <v>34</v>
      </c>
      <c r="AI7" s="125">
        <v>35</v>
      </c>
    </row>
    <row r="8" spans="1:36" s="136" customFormat="1" ht="111.75" customHeight="1" x14ac:dyDescent="0.2">
      <c r="A8" s="15">
        <v>2407</v>
      </c>
      <c r="B8" s="127" t="s">
        <v>169</v>
      </c>
      <c r="C8" s="15" t="s">
        <v>41</v>
      </c>
      <c r="D8" s="15">
        <v>56</v>
      </c>
      <c r="E8" s="15" t="s">
        <v>170</v>
      </c>
      <c r="F8" s="128">
        <v>24849</v>
      </c>
      <c r="G8" s="128">
        <v>24629</v>
      </c>
      <c r="H8" s="129">
        <f t="shared" ref="H8:H27" si="0">(G8-F8)/F8*100</f>
        <v>-0.88534749889331554</v>
      </c>
      <c r="I8" s="130">
        <v>0</v>
      </c>
      <c r="J8" s="130">
        <v>3</v>
      </c>
      <c r="K8" s="128">
        <v>23720</v>
      </c>
      <c r="L8" s="129">
        <f t="shared" ref="L8:L27" si="1">K8/G8*100</f>
        <v>96.309228957732756</v>
      </c>
      <c r="M8" s="130">
        <v>0</v>
      </c>
      <c r="N8" s="130">
        <v>0</v>
      </c>
      <c r="O8" s="129">
        <v>1584656</v>
      </c>
      <c r="P8" s="129">
        <v>1620395.5</v>
      </c>
      <c r="Q8" s="129">
        <f t="shared" ref="Q8:Q17" si="2">(P8-O8)/O8*100</f>
        <v>2.2553475328399348</v>
      </c>
      <c r="R8" s="130">
        <v>0</v>
      </c>
      <c r="S8" s="130">
        <v>1</v>
      </c>
      <c r="T8" s="129">
        <v>1615976</v>
      </c>
      <c r="U8" s="129">
        <v>1612569</v>
      </c>
      <c r="V8" s="129">
        <f t="shared" ref="V8:V28" si="3">U8/P8*100</f>
        <v>99.517000633487314</v>
      </c>
      <c r="W8" s="130">
        <v>0</v>
      </c>
      <c r="X8" s="130">
        <v>0</v>
      </c>
      <c r="Y8" s="129">
        <v>63771.41</v>
      </c>
      <c r="Z8" s="129">
        <v>65612.75</v>
      </c>
      <c r="AA8" s="129">
        <f t="shared" ref="AA8:AA14" si="4">(Z8-Y8)/Y8*100</f>
        <v>2.8874067548451512</v>
      </c>
      <c r="AB8" s="130">
        <v>3</v>
      </c>
      <c r="AC8" s="130">
        <v>0</v>
      </c>
      <c r="AD8" s="129">
        <f>T8-U8</f>
        <v>3407</v>
      </c>
      <c r="AE8" s="131">
        <v>100</v>
      </c>
      <c r="AF8" s="132" t="s">
        <v>171</v>
      </c>
      <c r="AG8" s="133">
        <v>50</v>
      </c>
      <c r="AH8" s="133">
        <v>50</v>
      </c>
      <c r="AI8" s="134">
        <f>AH8/AG8*100</f>
        <v>100</v>
      </c>
      <c r="AJ8" s="135"/>
    </row>
    <row r="9" spans="1:36" s="136" customFormat="1" ht="111.75" customHeight="1" x14ac:dyDescent="0.2">
      <c r="A9" s="15">
        <v>2407</v>
      </c>
      <c r="B9" s="127" t="s">
        <v>172</v>
      </c>
      <c r="C9" s="15" t="s">
        <v>41</v>
      </c>
      <c r="D9" s="15">
        <v>57</v>
      </c>
      <c r="E9" s="15" t="s">
        <v>170</v>
      </c>
      <c r="F9" s="128">
        <v>37172</v>
      </c>
      <c r="G9" s="128">
        <v>37139</v>
      </c>
      <c r="H9" s="129">
        <f t="shared" si="0"/>
        <v>-8.8776498439685783E-2</v>
      </c>
      <c r="I9" s="130">
        <v>0</v>
      </c>
      <c r="J9" s="130">
        <v>1</v>
      </c>
      <c r="K9" s="128">
        <v>35931</v>
      </c>
      <c r="L9" s="129">
        <f t="shared" si="1"/>
        <v>96.747354532970732</v>
      </c>
      <c r="M9" s="130">
        <v>0</v>
      </c>
      <c r="N9" s="130">
        <v>0</v>
      </c>
      <c r="O9" s="129">
        <v>1999462</v>
      </c>
      <c r="P9" s="129">
        <v>2045027.5</v>
      </c>
      <c r="Q9" s="129">
        <f t="shared" si="2"/>
        <v>2.2788880208776159</v>
      </c>
      <c r="R9" s="130">
        <v>0</v>
      </c>
      <c r="S9" s="130">
        <v>0</v>
      </c>
      <c r="T9" s="129">
        <v>2045027.5</v>
      </c>
      <c r="U9" s="129">
        <v>2041903</v>
      </c>
      <c r="V9" s="129">
        <f t="shared" si="3"/>
        <v>99.847214768505552</v>
      </c>
      <c r="W9" s="130">
        <v>0</v>
      </c>
      <c r="X9" s="130">
        <v>0</v>
      </c>
      <c r="Y9" s="129">
        <v>53789.46</v>
      </c>
      <c r="Z9" s="129">
        <v>55062.48</v>
      </c>
      <c r="AA9" s="129">
        <f t="shared" si="4"/>
        <v>2.366671834965445</v>
      </c>
      <c r="AB9" s="130">
        <v>1</v>
      </c>
      <c r="AC9" s="130">
        <v>0</v>
      </c>
      <c r="AD9" s="129">
        <f>T9-U9</f>
        <v>3124.5</v>
      </c>
      <c r="AE9" s="131">
        <v>100</v>
      </c>
      <c r="AF9" s="132" t="s">
        <v>171</v>
      </c>
      <c r="AG9" s="133">
        <v>50</v>
      </c>
      <c r="AH9" s="133">
        <v>50</v>
      </c>
      <c r="AI9" s="134">
        <f>AH9/AG9*100</f>
        <v>100</v>
      </c>
      <c r="AJ9" s="135"/>
    </row>
    <row r="10" spans="1:36" s="136" customFormat="1" ht="117.75" customHeight="1" x14ac:dyDescent="0.2">
      <c r="A10" s="15">
        <v>2407</v>
      </c>
      <c r="B10" s="127" t="s">
        <v>173</v>
      </c>
      <c r="C10" s="15" t="s">
        <v>41</v>
      </c>
      <c r="D10" s="15">
        <v>15</v>
      </c>
      <c r="E10" s="15" t="s">
        <v>79</v>
      </c>
      <c r="F10" s="137">
        <v>591840</v>
      </c>
      <c r="G10" s="137">
        <v>564430</v>
      </c>
      <c r="H10" s="129">
        <f t="shared" si="0"/>
        <v>-4.6313192754798598</v>
      </c>
      <c r="I10" s="138">
        <v>1</v>
      </c>
      <c r="J10" s="138">
        <v>3</v>
      </c>
      <c r="K10" s="137">
        <v>560974</v>
      </c>
      <c r="L10" s="129">
        <f t="shared" si="1"/>
        <v>99.387700866360746</v>
      </c>
      <c r="M10" s="138">
        <v>0</v>
      </c>
      <c r="N10" s="138">
        <v>0</v>
      </c>
      <c r="O10" s="139">
        <v>33524</v>
      </c>
      <c r="P10" s="139">
        <v>33182</v>
      </c>
      <c r="Q10" s="129">
        <f t="shared" si="2"/>
        <v>-1.0201646581553514</v>
      </c>
      <c r="R10" s="138">
        <v>1</v>
      </c>
      <c r="S10" s="138">
        <v>3</v>
      </c>
      <c r="T10" s="139">
        <v>33182</v>
      </c>
      <c r="U10" s="139">
        <v>33182</v>
      </c>
      <c r="V10" s="129">
        <f t="shared" si="3"/>
        <v>100</v>
      </c>
      <c r="W10" s="138">
        <v>0</v>
      </c>
      <c r="X10" s="138">
        <v>0</v>
      </c>
      <c r="Y10" s="129">
        <f t="shared" ref="Y10:Z17" si="5">O10/F10*1000</f>
        <v>56.643687483103541</v>
      </c>
      <c r="Z10" s="129">
        <f t="shared" si="5"/>
        <v>58.788512304448737</v>
      </c>
      <c r="AA10" s="129">
        <f t="shared" si="4"/>
        <v>3.7865204697080928</v>
      </c>
      <c r="AB10" s="138">
        <v>2</v>
      </c>
      <c r="AC10" s="138">
        <v>0</v>
      </c>
      <c r="AD10" s="129">
        <v>0</v>
      </c>
      <c r="AE10" s="131">
        <v>100</v>
      </c>
      <c r="AF10" s="132" t="s">
        <v>171</v>
      </c>
      <c r="AG10" s="133">
        <v>50</v>
      </c>
      <c r="AH10" s="133">
        <v>50</v>
      </c>
      <c r="AI10" s="134">
        <f>AH10/AG10*100</f>
        <v>100</v>
      </c>
      <c r="AJ10" s="135"/>
    </row>
    <row r="11" spans="1:36" s="136" customFormat="1" ht="67.5" customHeight="1" x14ac:dyDescent="0.2">
      <c r="A11" s="15">
        <v>2401</v>
      </c>
      <c r="B11" s="127" t="s">
        <v>174</v>
      </c>
      <c r="C11" s="15" t="s">
        <v>41</v>
      </c>
      <c r="D11" s="15">
        <v>38</v>
      </c>
      <c r="E11" s="15" t="s">
        <v>170</v>
      </c>
      <c r="F11" s="140">
        <v>2399</v>
      </c>
      <c r="G11" s="140">
        <v>2413</v>
      </c>
      <c r="H11" s="129">
        <f t="shared" si="0"/>
        <v>0.58357649020425173</v>
      </c>
      <c r="I11" s="130">
        <v>8</v>
      </c>
      <c r="J11" s="130">
        <v>8</v>
      </c>
      <c r="K11" s="140">
        <v>2453</v>
      </c>
      <c r="L11" s="129">
        <f t="shared" si="1"/>
        <v>101.65768752590137</v>
      </c>
      <c r="M11" s="130">
        <v>3</v>
      </c>
      <c r="N11" s="130">
        <v>0</v>
      </c>
      <c r="O11" s="129">
        <v>480692.4</v>
      </c>
      <c r="P11" s="129">
        <v>503485.8</v>
      </c>
      <c r="Q11" s="129">
        <f t="shared" si="2"/>
        <v>4.7417849751733048</v>
      </c>
      <c r="R11" s="130">
        <v>12</v>
      </c>
      <c r="S11" s="130">
        <v>5</v>
      </c>
      <c r="T11" s="129">
        <v>503485.8</v>
      </c>
      <c r="U11" s="129">
        <v>503110.9</v>
      </c>
      <c r="V11" s="129">
        <f t="shared" si="3"/>
        <v>99.925539111530057</v>
      </c>
      <c r="W11" s="130">
        <v>0</v>
      </c>
      <c r="X11" s="130">
        <v>0</v>
      </c>
      <c r="Y11" s="129">
        <f t="shared" si="5"/>
        <v>200371.98832847021</v>
      </c>
      <c r="Z11" s="129">
        <f t="shared" si="5"/>
        <v>208655.53253211768</v>
      </c>
      <c r="AA11" s="129">
        <f t="shared" si="4"/>
        <v>4.1340829487943394</v>
      </c>
      <c r="AB11" s="130">
        <f>IF(AA11&gt;=10,1,0)</f>
        <v>0</v>
      </c>
      <c r="AC11" s="130">
        <f>IF(AND(AA11&lt;0,AA11&lt;=-10),1,0)</f>
        <v>0</v>
      </c>
      <c r="AD11" s="129">
        <f t="shared" ref="AD11:AD16" si="6">T11-U11</f>
        <v>374.89999999996508</v>
      </c>
      <c r="AE11" s="131">
        <v>100</v>
      </c>
      <c r="AF11" s="141" t="s">
        <v>175</v>
      </c>
      <c r="AG11" s="142">
        <v>95</v>
      </c>
      <c r="AH11" s="142">
        <v>95</v>
      </c>
      <c r="AI11" s="134">
        <f>(AH11/AG11)*100</f>
        <v>100</v>
      </c>
      <c r="AJ11" s="135"/>
    </row>
    <row r="12" spans="1:36" s="136" customFormat="1" ht="67.5" customHeight="1" x14ac:dyDescent="0.2">
      <c r="A12" s="15">
        <v>2401</v>
      </c>
      <c r="B12" s="127" t="s">
        <v>176</v>
      </c>
      <c r="C12" s="15" t="s">
        <v>41</v>
      </c>
      <c r="D12" s="15">
        <v>47</v>
      </c>
      <c r="E12" s="15" t="s">
        <v>170</v>
      </c>
      <c r="F12" s="140">
        <v>6003</v>
      </c>
      <c r="G12" s="140">
        <v>5839</v>
      </c>
      <c r="H12" s="129">
        <f t="shared" si="0"/>
        <v>-2.731967349658504</v>
      </c>
      <c r="I12" s="130">
        <v>6</v>
      </c>
      <c r="J12" s="130">
        <v>3</v>
      </c>
      <c r="K12" s="140">
        <v>5776</v>
      </c>
      <c r="L12" s="129">
        <f t="shared" si="1"/>
        <v>98.921048124678876</v>
      </c>
      <c r="M12" s="130">
        <v>1</v>
      </c>
      <c r="N12" s="130">
        <v>0</v>
      </c>
      <c r="O12" s="129">
        <v>1197381</v>
      </c>
      <c r="P12" s="129">
        <v>1233052.3999999999</v>
      </c>
      <c r="Q12" s="129">
        <f t="shared" si="2"/>
        <v>2.9791185929958721</v>
      </c>
      <c r="R12" s="130">
        <v>10</v>
      </c>
      <c r="S12" s="130">
        <v>3</v>
      </c>
      <c r="T12" s="129">
        <v>1233052.3999999999</v>
      </c>
      <c r="U12" s="129">
        <v>1232454.6000000001</v>
      </c>
      <c r="V12" s="129">
        <f t="shared" si="3"/>
        <v>99.95151868647271</v>
      </c>
      <c r="W12" s="130">
        <v>0</v>
      </c>
      <c r="X12" s="130">
        <v>0</v>
      </c>
      <c r="Y12" s="129">
        <f t="shared" si="5"/>
        <v>199463.76811594202</v>
      </c>
      <c r="Z12" s="129">
        <f t="shared" si="5"/>
        <v>211175.26973796883</v>
      </c>
      <c r="AA12" s="129">
        <f t="shared" si="4"/>
        <v>5.8714932203723773</v>
      </c>
      <c r="AB12" s="130">
        <f>IF(AA12&gt;=10,1,0)</f>
        <v>0</v>
      </c>
      <c r="AC12" s="130">
        <f>IF(AND(AA12&lt;0,AA12&lt;=-10),1,0)</f>
        <v>0</v>
      </c>
      <c r="AD12" s="129">
        <f t="shared" si="6"/>
        <v>597.79999999981374</v>
      </c>
      <c r="AE12" s="131">
        <v>100</v>
      </c>
      <c r="AF12" s="141" t="s">
        <v>175</v>
      </c>
      <c r="AG12" s="142">
        <v>95</v>
      </c>
      <c r="AH12" s="142">
        <v>95</v>
      </c>
      <c r="AI12" s="134">
        <f>(AH12/AG12)*100</f>
        <v>100</v>
      </c>
      <c r="AJ12" s="135"/>
    </row>
    <row r="13" spans="1:36" s="136" customFormat="1" ht="72.75" customHeight="1" x14ac:dyDescent="0.2">
      <c r="A13" s="15">
        <v>2401</v>
      </c>
      <c r="B13" s="127" t="s">
        <v>177</v>
      </c>
      <c r="C13" s="15" t="s">
        <v>41</v>
      </c>
      <c r="D13" s="15">
        <v>31</v>
      </c>
      <c r="E13" s="15" t="s">
        <v>170</v>
      </c>
      <c r="F13" s="140">
        <v>2894</v>
      </c>
      <c r="G13" s="140">
        <v>3028</v>
      </c>
      <c r="H13" s="129">
        <f t="shared" si="0"/>
        <v>4.6302695231513473</v>
      </c>
      <c r="I13" s="130">
        <v>8</v>
      </c>
      <c r="J13" s="130">
        <v>4</v>
      </c>
      <c r="K13" s="140">
        <v>3005</v>
      </c>
      <c r="L13" s="129">
        <f t="shared" si="1"/>
        <v>99.24042272126816</v>
      </c>
      <c r="M13" s="130">
        <v>1</v>
      </c>
      <c r="N13" s="130">
        <v>0</v>
      </c>
      <c r="O13" s="19">
        <v>343328.4</v>
      </c>
      <c r="P13" s="19">
        <v>374231.5</v>
      </c>
      <c r="Q13" s="19">
        <f t="shared" si="2"/>
        <v>9.0010322478419997</v>
      </c>
      <c r="R13" s="143">
        <v>10</v>
      </c>
      <c r="S13" s="143">
        <v>3</v>
      </c>
      <c r="T13" s="19">
        <v>374231.5</v>
      </c>
      <c r="U13" s="19">
        <v>374041.8</v>
      </c>
      <c r="V13" s="129">
        <f t="shared" si="3"/>
        <v>99.949309451502614</v>
      </c>
      <c r="W13" s="130">
        <v>0</v>
      </c>
      <c r="X13" s="130">
        <v>0</v>
      </c>
      <c r="Y13" s="129">
        <f t="shared" si="5"/>
        <v>118634.55425017279</v>
      </c>
      <c r="Z13" s="129">
        <f t="shared" si="5"/>
        <v>123590.32364597094</v>
      </c>
      <c r="AA13" s="129">
        <f t="shared" si="4"/>
        <v>4.1773405961871655</v>
      </c>
      <c r="AB13" s="130">
        <f>IF(AA13&gt;=10,1,0)</f>
        <v>0</v>
      </c>
      <c r="AC13" s="130">
        <f>IF(AND(AA13&lt;0,AA13&lt;=-10),1,0)</f>
        <v>0</v>
      </c>
      <c r="AD13" s="19">
        <f t="shared" si="6"/>
        <v>189.70000000001164</v>
      </c>
      <c r="AE13" s="131">
        <v>100</v>
      </c>
      <c r="AF13" s="141" t="s">
        <v>175</v>
      </c>
      <c r="AG13" s="142">
        <v>95</v>
      </c>
      <c r="AH13" s="142">
        <v>95</v>
      </c>
      <c r="AI13" s="134">
        <f>(AH13/AG13)*100</f>
        <v>100</v>
      </c>
      <c r="AJ13" s="135"/>
    </row>
    <row r="14" spans="1:36" s="148" customFormat="1" ht="64.5" customHeight="1" x14ac:dyDescent="0.2">
      <c r="A14" s="15">
        <v>2402</v>
      </c>
      <c r="B14" s="63" t="s">
        <v>178</v>
      </c>
      <c r="C14" s="53" t="s">
        <v>41</v>
      </c>
      <c r="D14" s="53">
        <v>48</v>
      </c>
      <c r="E14" s="53" t="s">
        <v>170</v>
      </c>
      <c r="F14" s="23">
        <v>8531</v>
      </c>
      <c r="G14" s="23">
        <v>8917</v>
      </c>
      <c r="H14" s="19">
        <f t="shared" si="0"/>
        <v>4.5246747157425862</v>
      </c>
      <c r="I14" s="143">
        <v>11</v>
      </c>
      <c r="J14" s="143">
        <v>0</v>
      </c>
      <c r="K14" s="23">
        <v>8843</v>
      </c>
      <c r="L14" s="19">
        <f t="shared" si="1"/>
        <v>99.170124481327804</v>
      </c>
      <c r="M14" s="143">
        <v>0</v>
      </c>
      <c r="N14" s="143">
        <v>0</v>
      </c>
      <c r="O14" s="19">
        <v>302975.09999999998</v>
      </c>
      <c r="P14" s="19">
        <v>314442</v>
      </c>
      <c r="Q14" s="19">
        <f t="shared" si="2"/>
        <v>3.7847664709080133</v>
      </c>
      <c r="R14" s="143">
        <v>9</v>
      </c>
      <c r="S14" s="143">
        <v>0</v>
      </c>
      <c r="T14" s="19">
        <v>314442</v>
      </c>
      <c r="U14" s="19">
        <v>292158.3</v>
      </c>
      <c r="V14" s="19">
        <f t="shared" si="3"/>
        <v>92.91325586276642</v>
      </c>
      <c r="W14" s="143">
        <v>0</v>
      </c>
      <c r="X14" s="143">
        <v>0</v>
      </c>
      <c r="Y14" s="19">
        <f t="shared" si="5"/>
        <v>35514.605556206778</v>
      </c>
      <c r="Z14" s="19">
        <f t="shared" si="5"/>
        <v>35263.20511382752</v>
      </c>
      <c r="AA14" s="19">
        <f t="shared" si="4"/>
        <v>-0.70787902172074424</v>
      </c>
      <c r="AB14" s="143">
        <f>IF(AA14&gt;=10,1,0)</f>
        <v>0</v>
      </c>
      <c r="AC14" s="143">
        <f>IF(AND(AA14&lt;0,AA14&lt;=-10),1,0)</f>
        <v>0</v>
      </c>
      <c r="AD14" s="19">
        <f t="shared" si="6"/>
        <v>22283.700000000012</v>
      </c>
      <c r="AE14" s="69">
        <v>100</v>
      </c>
      <c r="AF14" s="144" t="s">
        <v>175</v>
      </c>
      <c r="AG14" s="145">
        <v>95</v>
      </c>
      <c r="AH14" s="145">
        <v>95</v>
      </c>
      <c r="AI14" s="146">
        <f>(AH14/AG14)*100</f>
        <v>100</v>
      </c>
      <c r="AJ14" s="147"/>
    </row>
    <row r="15" spans="1:36" s="148" customFormat="1" ht="107.25" customHeight="1" x14ac:dyDescent="0.2">
      <c r="A15" s="15">
        <v>2404</v>
      </c>
      <c r="B15" s="63" t="s">
        <v>179</v>
      </c>
      <c r="C15" s="53" t="s">
        <v>41</v>
      </c>
      <c r="D15" s="53">
        <v>3</v>
      </c>
      <c r="E15" s="53" t="s">
        <v>170</v>
      </c>
      <c r="F15" s="149">
        <v>187</v>
      </c>
      <c r="G15" s="149">
        <v>187</v>
      </c>
      <c r="H15" s="19">
        <f t="shared" si="0"/>
        <v>0</v>
      </c>
      <c r="I15" s="143">
        <v>0</v>
      </c>
      <c r="J15" s="143">
        <v>0</v>
      </c>
      <c r="K15" s="143">
        <v>185</v>
      </c>
      <c r="L15" s="19">
        <f t="shared" si="1"/>
        <v>98.930481283422452</v>
      </c>
      <c r="M15" s="143">
        <v>0</v>
      </c>
      <c r="N15" s="143">
        <v>0</v>
      </c>
      <c r="O15" s="19">
        <v>49999</v>
      </c>
      <c r="P15" s="19">
        <v>51764</v>
      </c>
      <c r="Q15" s="19">
        <f t="shared" si="2"/>
        <v>3.5300706014120284</v>
      </c>
      <c r="R15" s="143">
        <v>0</v>
      </c>
      <c r="S15" s="143">
        <v>0</v>
      </c>
      <c r="T15" s="19">
        <v>51764</v>
      </c>
      <c r="U15" s="19">
        <v>51764</v>
      </c>
      <c r="V15" s="19">
        <f t="shared" si="3"/>
        <v>100</v>
      </c>
      <c r="W15" s="143">
        <v>0</v>
      </c>
      <c r="X15" s="143">
        <v>0</v>
      </c>
      <c r="Y15" s="86">
        <f t="shared" si="5"/>
        <v>267374.33155080216</v>
      </c>
      <c r="Z15" s="86">
        <f t="shared" si="5"/>
        <v>276812.83422459895</v>
      </c>
      <c r="AA15" s="86">
        <f>ROUND((Z15-Y15)/Y15*100,1)</f>
        <v>3.5</v>
      </c>
      <c r="AB15" s="143">
        <v>1</v>
      </c>
      <c r="AC15" s="143">
        <v>0</v>
      </c>
      <c r="AD15" s="19">
        <f t="shared" si="6"/>
        <v>0</v>
      </c>
      <c r="AE15" s="69">
        <v>100</v>
      </c>
      <c r="AF15" s="144" t="s">
        <v>180</v>
      </c>
      <c r="AG15" s="145">
        <v>100</v>
      </c>
      <c r="AH15" s="145">
        <v>100</v>
      </c>
      <c r="AI15" s="146">
        <f>AH15/AG15*100</f>
        <v>100</v>
      </c>
      <c r="AJ15" s="147"/>
    </row>
    <row r="16" spans="1:36" s="148" customFormat="1" ht="114" customHeight="1" x14ac:dyDescent="0.2">
      <c r="A16" s="15">
        <v>2405</v>
      </c>
      <c r="B16" s="63" t="s">
        <v>181</v>
      </c>
      <c r="C16" s="53" t="s">
        <v>41</v>
      </c>
      <c r="D16" s="53">
        <v>3</v>
      </c>
      <c r="E16" s="53" t="s">
        <v>182</v>
      </c>
      <c r="F16" s="149">
        <v>33408</v>
      </c>
      <c r="G16" s="149">
        <v>33408</v>
      </c>
      <c r="H16" s="19">
        <f t="shared" si="0"/>
        <v>0</v>
      </c>
      <c r="I16" s="143">
        <v>0</v>
      </c>
      <c r="J16" s="143">
        <v>0</v>
      </c>
      <c r="K16" s="143">
        <v>37973</v>
      </c>
      <c r="L16" s="19">
        <f t="shared" si="1"/>
        <v>113.66439176245211</v>
      </c>
      <c r="M16" s="143">
        <v>2</v>
      </c>
      <c r="N16" s="143">
        <v>0</v>
      </c>
      <c r="O16" s="19">
        <v>4643</v>
      </c>
      <c r="P16" s="19">
        <v>4643</v>
      </c>
      <c r="Q16" s="19">
        <f t="shared" si="2"/>
        <v>0</v>
      </c>
      <c r="R16" s="143">
        <v>0</v>
      </c>
      <c r="S16" s="143">
        <v>0</v>
      </c>
      <c r="T16" s="19">
        <v>4643</v>
      </c>
      <c r="U16" s="19">
        <v>4584</v>
      </c>
      <c r="V16" s="19">
        <f t="shared" si="3"/>
        <v>98.729269868619426</v>
      </c>
      <c r="W16" s="143">
        <v>0</v>
      </c>
      <c r="X16" s="143">
        <v>0</v>
      </c>
      <c r="Y16" s="86">
        <f t="shared" si="5"/>
        <v>138.9786877394636</v>
      </c>
      <c r="Z16" s="86">
        <f t="shared" si="5"/>
        <v>138.9786877394636</v>
      </c>
      <c r="AA16" s="86">
        <f>ROUND((Z16-Y16)/Y16*100,1)</f>
        <v>0</v>
      </c>
      <c r="AB16" s="143">
        <v>0</v>
      </c>
      <c r="AC16" s="143">
        <v>0</v>
      </c>
      <c r="AD16" s="19">
        <f t="shared" si="6"/>
        <v>59</v>
      </c>
      <c r="AE16" s="69">
        <v>100</v>
      </c>
      <c r="AF16" s="144" t="s">
        <v>180</v>
      </c>
      <c r="AG16" s="145">
        <v>100</v>
      </c>
      <c r="AH16" s="145">
        <v>100</v>
      </c>
      <c r="AI16" s="146">
        <f>AH16/AG16*100</f>
        <v>100</v>
      </c>
      <c r="AJ16" s="147"/>
    </row>
    <row r="17" spans="1:36" s="148" customFormat="1" ht="97.5" customHeight="1" x14ac:dyDescent="0.2">
      <c r="A17" s="15">
        <v>2412</v>
      </c>
      <c r="B17" s="150" t="s">
        <v>183</v>
      </c>
      <c r="C17" s="73" t="s">
        <v>41</v>
      </c>
      <c r="D17" s="151">
        <v>15</v>
      </c>
      <c r="E17" s="151" t="s">
        <v>184</v>
      </c>
      <c r="F17" s="152">
        <v>556</v>
      </c>
      <c r="G17" s="152">
        <v>549</v>
      </c>
      <c r="H17" s="19">
        <f t="shared" si="0"/>
        <v>-1.2589928057553956</v>
      </c>
      <c r="I17" s="153">
        <v>0</v>
      </c>
      <c r="J17" s="153">
        <v>1</v>
      </c>
      <c r="K17" s="152">
        <v>525</v>
      </c>
      <c r="L17" s="19">
        <f t="shared" si="1"/>
        <v>95.628415300546436</v>
      </c>
      <c r="M17" s="153">
        <v>0</v>
      </c>
      <c r="N17" s="153">
        <v>0</v>
      </c>
      <c r="O17" s="154">
        <v>365073.3</v>
      </c>
      <c r="P17" s="154">
        <v>372368.3</v>
      </c>
      <c r="Q17" s="19">
        <f t="shared" si="2"/>
        <v>1.9982288488366584</v>
      </c>
      <c r="R17" s="153">
        <v>0</v>
      </c>
      <c r="S17" s="153">
        <v>0</v>
      </c>
      <c r="T17" s="154">
        <v>371418.4</v>
      </c>
      <c r="U17" s="154">
        <v>371418.4</v>
      </c>
      <c r="V17" s="19">
        <f t="shared" si="3"/>
        <v>99.744903097283</v>
      </c>
      <c r="W17" s="153">
        <v>0</v>
      </c>
      <c r="X17" s="153">
        <v>0</v>
      </c>
      <c r="Y17" s="19">
        <f t="shared" si="5"/>
        <v>656606.65467625891</v>
      </c>
      <c r="Z17" s="19">
        <f t="shared" si="5"/>
        <v>678266.48451730423</v>
      </c>
      <c r="AA17" s="19">
        <f>ROUND((Z17-Y17)/Y17*100,1)</f>
        <v>3.3</v>
      </c>
      <c r="AB17" s="153">
        <v>1</v>
      </c>
      <c r="AC17" s="153">
        <v>0</v>
      </c>
      <c r="AD17" s="19">
        <v>0</v>
      </c>
      <c r="AE17" s="69">
        <v>100</v>
      </c>
      <c r="AF17" s="155" t="s">
        <v>185</v>
      </c>
      <c r="AG17" s="156">
        <v>98.5</v>
      </c>
      <c r="AH17" s="156">
        <v>98.5</v>
      </c>
      <c r="AI17" s="62">
        <f>AH17/AG17*100</f>
        <v>100</v>
      </c>
      <c r="AJ17" s="147"/>
    </row>
    <row r="18" spans="1:36" s="136" customFormat="1" ht="90.75" customHeight="1" x14ac:dyDescent="0.2">
      <c r="A18" s="15">
        <v>3412</v>
      </c>
      <c r="B18" s="127" t="s">
        <v>186</v>
      </c>
      <c r="C18" s="157" t="s">
        <v>41</v>
      </c>
      <c r="D18" s="158">
        <v>1</v>
      </c>
      <c r="E18" s="157" t="s">
        <v>187</v>
      </c>
      <c r="F18" s="159">
        <v>200</v>
      </c>
      <c r="G18" s="159">
        <v>200</v>
      </c>
      <c r="H18" s="129">
        <f t="shared" si="0"/>
        <v>0</v>
      </c>
      <c r="I18" s="130">
        <v>0</v>
      </c>
      <c r="J18" s="130">
        <f>IF(AND(H18&lt;0,H18&lt;=-10),1,0)</f>
        <v>0</v>
      </c>
      <c r="K18" s="159">
        <v>200</v>
      </c>
      <c r="L18" s="129">
        <f t="shared" si="1"/>
        <v>100</v>
      </c>
      <c r="M18" s="130">
        <f>IF(L18&gt;=110,1,0)</f>
        <v>0</v>
      </c>
      <c r="N18" s="130">
        <f>IF(AND(L18&lt;0,L18&lt;=-90),1,0)</f>
        <v>0</v>
      </c>
      <c r="O18" s="129">
        <v>0</v>
      </c>
      <c r="P18" s="129">
        <v>5000</v>
      </c>
      <c r="Q18" s="129">
        <v>0</v>
      </c>
      <c r="R18" s="160">
        <v>0</v>
      </c>
      <c r="S18" s="160">
        <f>IF(AND(Q18&lt;0,Q18&lt;=-10),1,0)</f>
        <v>0</v>
      </c>
      <c r="T18" s="129">
        <v>5000</v>
      </c>
      <c r="U18" s="129">
        <f>T18-AD18</f>
        <v>5000</v>
      </c>
      <c r="V18" s="129">
        <f t="shared" si="3"/>
        <v>100</v>
      </c>
      <c r="W18" s="138">
        <f>IF(V18&gt;=110,1,0)</f>
        <v>0</v>
      </c>
      <c r="X18" s="138">
        <f>IF(AND(V18&lt;0,V18&lt;=-90),1,0)</f>
        <v>0</v>
      </c>
      <c r="Y18" s="129"/>
      <c r="Z18" s="129"/>
      <c r="AA18" s="129"/>
      <c r="AB18" s="130">
        <f t="shared" ref="AB18:AB27" si="7">IF(AA18&gt;=10,1,0)</f>
        <v>0</v>
      </c>
      <c r="AC18" s="130">
        <f t="shared" ref="AC18:AC27" si="8">IF(AND(AA18&lt;0,AA18&lt;=-10),1,0)</f>
        <v>0</v>
      </c>
      <c r="AD18" s="129">
        <v>0</v>
      </c>
      <c r="AE18" s="131">
        <v>100</v>
      </c>
      <c r="AF18" s="161"/>
      <c r="AG18" s="162"/>
      <c r="AH18" s="162"/>
      <c r="AI18" s="159"/>
      <c r="AJ18" s="135"/>
    </row>
    <row r="19" spans="1:36" s="136" customFormat="1" ht="93" customHeight="1" x14ac:dyDescent="0.2">
      <c r="A19" s="15">
        <v>2411</v>
      </c>
      <c r="B19" s="163" t="s">
        <v>188</v>
      </c>
      <c r="C19" s="15" t="s">
        <v>41</v>
      </c>
      <c r="D19" s="164">
        <v>5</v>
      </c>
      <c r="E19" s="15" t="s">
        <v>79</v>
      </c>
      <c r="F19" s="128">
        <v>745896</v>
      </c>
      <c r="G19" s="128">
        <v>745896</v>
      </c>
      <c r="H19" s="129">
        <f t="shared" si="0"/>
        <v>0</v>
      </c>
      <c r="I19" s="130">
        <v>0</v>
      </c>
      <c r="J19" s="130">
        <v>0</v>
      </c>
      <c r="K19" s="128">
        <v>745848</v>
      </c>
      <c r="L19" s="129">
        <f t="shared" si="1"/>
        <v>99.993564786511797</v>
      </c>
      <c r="M19" s="130">
        <v>0</v>
      </c>
      <c r="N19" s="130">
        <v>0</v>
      </c>
      <c r="O19" s="129">
        <v>72886</v>
      </c>
      <c r="P19" s="129">
        <v>74512</v>
      </c>
      <c r="Q19" s="129">
        <f t="shared" ref="Q19:Q28" si="9">(P19-O19)/O19*100</f>
        <v>2.2308811019948962</v>
      </c>
      <c r="R19" s="130">
        <v>1</v>
      </c>
      <c r="S19" s="130">
        <v>0</v>
      </c>
      <c r="T19" s="129">
        <v>74512</v>
      </c>
      <c r="U19" s="129">
        <v>74503</v>
      </c>
      <c r="V19" s="129">
        <f t="shared" si="3"/>
        <v>99.987921408632161</v>
      </c>
      <c r="W19" s="130">
        <v>0</v>
      </c>
      <c r="X19" s="130">
        <v>0</v>
      </c>
      <c r="Y19" s="129">
        <f t="shared" ref="Y19:Y27" si="10">O19/F19*1000</f>
        <v>97.716035479477029</v>
      </c>
      <c r="Z19" s="129">
        <f t="shared" ref="Z19:Z27" si="11">P19/G19*1000</f>
        <v>99.895964048607311</v>
      </c>
      <c r="AA19" s="129">
        <f t="shared" ref="AA19:AA27" si="12">(Z19-Y19)/Y19*100</f>
        <v>2.230881101994898</v>
      </c>
      <c r="AB19" s="130">
        <f t="shared" si="7"/>
        <v>0</v>
      </c>
      <c r="AC19" s="130">
        <f t="shared" si="8"/>
        <v>0</v>
      </c>
      <c r="AD19" s="129">
        <f t="shared" ref="AD19:AD27" si="13">T19-U19</f>
        <v>9</v>
      </c>
      <c r="AE19" s="131">
        <v>100</v>
      </c>
      <c r="AF19" s="165" t="s">
        <v>189</v>
      </c>
      <c r="AG19" s="128">
        <v>78.55</v>
      </c>
      <c r="AH19" s="128">
        <v>78.55</v>
      </c>
      <c r="AI19" s="159">
        <f>AH19/AG19*100</f>
        <v>100</v>
      </c>
      <c r="AJ19" s="135"/>
    </row>
    <row r="20" spans="1:36" s="167" customFormat="1" ht="162.75" customHeight="1" x14ac:dyDescent="0.2">
      <c r="A20" s="15">
        <v>3402</v>
      </c>
      <c r="B20" s="163" t="s">
        <v>190</v>
      </c>
      <c r="C20" s="15" t="s">
        <v>41</v>
      </c>
      <c r="D20" s="164">
        <v>5</v>
      </c>
      <c r="E20" s="164" t="s">
        <v>187</v>
      </c>
      <c r="F20" s="128">
        <v>245</v>
      </c>
      <c r="G20" s="128">
        <v>245</v>
      </c>
      <c r="H20" s="129">
        <f t="shared" si="0"/>
        <v>0</v>
      </c>
      <c r="I20" s="130">
        <v>0</v>
      </c>
      <c r="J20" s="130">
        <v>0</v>
      </c>
      <c r="K20" s="130">
        <v>245</v>
      </c>
      <c r="L20" s="129">
        <f t="shared" si="1"/>
        <v>100</v>
      </c>
      <c r="M20" s="130">
        <v>0</v>
      </c>
      <c r="N20" s="130">
        <v>0</v>
      </c>
      <c r="O20" s="129">
        <v>12198</v>
      </c>
      <c r="P20" s="129">
        <v>76219.399999999994</v>
      </c>
      <c r="Q20" s="129">
        <f t="shared" si="9"/>
        <v>524.85161501885557</v>
      </c>
      <c r="R20" s="130">
        <v>2</v>
      </c>
      <c r="S20" s="130">
        <v>0</v>
      </c>
      <c r="T20" s="129">
        <v>76086</v>
      </c>
      <c r="U20" s="129">
        <v>49141</v>
      </c>
      <c r="V20" s="129">
        <f t="shared" si="3"/>
        <v>64.473086904383919</v>
      </c>
      <c r="W20" s="130">
        <v>0</v>
      </c>
      <c r="X20" s="130">
        <v>0</v>
      </c>
      <c r="Y20" s="129">
        <f t="shared" si="10"/>
        <v>49787.755102040821</v>
      </c>
      <c r="Z20" s="129">
        <f t="shared" si="11"/>
        <v>311099.59183673467</v>
      </c>
      <c r="AA20" s="129">
        <f t="shared" si="12"/>
        <v>524.85161501885545</v>
      </c>
      <c r="AB20" s="130">
        <f t="shared" si="7"/>
        <v>1</v>
      </c>
      <c r="AC20" s="130">
        <f t="shared" si="8"/>
        <v>0</v>
      </c>
      <c r="AD20" s="129">
        <f t="shared" si="13"/>
        <v>26945</v>
      </c>
      <c r="AE20" s="131">
        <v>100</v>
      </c>
      <c r="AF20" s="165" t="s">
        <v>191</v>
      </c>
      <c r="AG20" s="128">
        <v>23</v>
      </c>
      <c r="AH20" s="128">
        <v>23</v>
      </c>
      <c r="AI20" s="159">
        <f>AH20/AG20*100</f>
        <v>100</v>
      </c>
      <c r="AJ20" s="166"/>
    </row>
    <row r="21" spans="1:36" s="136" customFormat="1" ht="50.25" customHeight="1" x14ac:dyDescent="0.2">
      <c r="A21" s="15">
        <v>2419</v>
      </c>
      <c r="B21" s="163" t="s">
        <v>192</v>
      </c>
      <c r="C21" s="15" t="s">
        <v>41</v>
      </c>
      <c r="D21" s="164">
        <v>1</v>
      </c>
      <c r="E21" s="15" t="s">
        <v>193</v>
      </c>
      <c r="F21" s="128">
        <v>112</v>
      </c>
      <c r="G21" s="128">
        <v>112</v>
      </c>
      <c r="H21" s="129">
        <f t="shared" si="0"/>
        <v>0</v>
      </c>
      <c r="I21" s="130">
        <v>0</v>
      </c>
      <c r="J21" s="130">
        <f t="shared" ref="J21:J27" si="14">IF(AND(H21&lt;0,H21&lt;=-10),1,0)</f>
        <v>0</v>
      </c>
      <c r="K21" s="128">
        <v>112</v>
      </c>
      <c r="L21" s="129">
        <f t="shared" si="1"/>
        <v>100</v>
      </c>
      <c r="M21" s="130">
        <f t="shared" ref="M21:M27" si="15">IF(L21&gt;=110,1,0)</f>
        <v>0</v>
      </c>
      <c r="N21" s="130">
        <f t="shared" ref="N21:N27" si="16">IF(AND(L21&lt;0,L21&lt;=-90),1,0)</f>
        <v>0</v>
      </c>
      <c r="O21" s="129">
        <v>10534.2</v>
      </c>
      <c r="P21" s="129">
        <v>11384.2</v>
      </c>
      <c r="Q21" s="129">
        <f t="shared" si="9"/>
        <v>8.0689563516925809</v>
      </c>
      <c r="R21" s="130">
        <f t="shared" ref="R21:R27" si="17">IF(Q21&gt;=10,1,0)</f>
        <v>0</v>
      </c>
      <c r="S21" s="130">
        <f t="shared" ref="S21:S27" si="18">IF(AND(Q21&lt;0,Q21&lt;=-10),1,0)</f>
        <v>0</v>
      </c>
      <c r="T21" s="129">
        <v>11361</v>
      </c>
      <c r="U21" s="129">
        <v>11356.5</v>
      </c>
      <c r="V21" s="129">
        <f t="shared" si="3"/>
        <v>99.756680311308656</v>
      </c>
      <c r="W21" s="130">
        <f t="shared" ref="W21:W27" si="19">IF(V21&gt;=110,1,0)</f>
        <v>0</v>
      </c>
      <c r="X21" s="130">
        <f t="shared" ref="X21:X27" si="20">IF(AND(V21&lt;0,V21&lt;=-90),1,0)</f>
        <v>0</v>
      </c>
      <c r="Y21" s="129">
        <f t="shared" si="10"/>
        <v>94055.357142857145</v>
      </c>
      <c r="Z21" s="129">
        <f t="shared" si="11"/>
        <v>101644.64285714287</v>
      </c>
      <c r="AA21" s="129">
        <f t="shared" si="12"/>
        <v>8.0689563516925933</v>
      </c>
      <c r="AB21" s="130">
        <f t="shared" si="7"/>
        <v>0</v>
      </c>
      <c r="AC21" s="130">
        <f t="shared" si="8"/>
        <v>0</v>
      </c>
      <c r="AD21" s="129">
        <f t="shared" si="13"/>
        <v>4.5</v>
      </c>
      <c r="AE21" s="131">
        <v>100</v>
      </c>
      <c r="AF21" s="165" t="s">
        <v>194</v>
      </c>
      <c r="AG21" s="128">
        <v>95.1</v>
      </c>
      <c r="AH21" s="128">
        <v>95.1</v>
      </c>
      <c r="AI21" s="159">
        <f>AH21/AG21*100</f>
        <v>100</v>
      </c>
      <c r="AJ21" s="135"/>
    </row>
    <row r="22" spans="1:36" s="136" customFormat="1" ht="63" customHeight="1" x14ac:dyDescent="0.2">
      <c r="A22" s="15">
        <v>2409</v>
      </c>
      <c r="B22" s="127" t="s">
        <v>195</v>
      </c>
      <c r="C22" s="157" t="s">
        <v>41</v>
      </c>
      <c r="D22" s="164">
        <v>1</v>
      </c>
      <c r="E22" s="164" t="s">
        <v>196</v>
      </c>
      <c r="F22" s="128">
        <v>853765</v>
      </c>
      <c r="G22" s="128">
        <v>853765</v>
      </c>
      <c r="H22" s="129">
        <f t="shared" si="0"/>
        <v>0</v>
      </c>
      <c r="I22" s="130">
        <f t="shared" ref="I22:I27" si="21">IF(H22&gt;=10,1,0)</f>
        <v>0</v>
      </c>
      <c r="J22" s="130">
        <f t="shared" si="14"/>
        <v>0</v>
      </c>
      <c r="K22" s="128">
        <v>853765</v>
      </c>
      <c r="L22" s="129">
        <f t="shared" si="1"/>
        <v>100</v>
      </c>
      <c r="M22" s="130">
        <f t="shared" si="15"/>
        <v>0</v>
      </c>
      <c r="N22" s="130">
        <f t="shared" si="16"/>
        <v>0</v>
      </c>
      <c r="O22" s="129">
        <v>46540.9</v>
      </c>
      <c r="P22" s="129">
        <v>47114.7</v>
      </c>
      <c r="Q22" s="129">
        <f t="shared" si="9"/>
        <v>1.2328940781119309</v>
      </c>
      <c r="R22" s="130">
        <f t="shared" si="17"/>
        <v>0</v>
      </c>
      <c r="S22" s="130">
        <f t="shared" si="18"/>
        <v>0</v>
      </c>
      <c r="T22" s="129">
        <v>47114.7</v>
      </c>
      <c r="U22" s="129">
        <v>47027</v>
      </c>
      <c r="V22" s="129">
        <f t="shared" si="3"/>
        <v>99.813858519740123</v>
      </c>
      <c r="W22" s="130">
        <f t="shared" si="19"/>
        <v>0</v>
      </c>
      <c r="X22" s="130">
        <f t="shared" si="20"/>
        <v>0</v>
      </c>
      <c r="Y22" s="129">
        <f t="shared" si="10"/>
        <v>54.512541507323448</v>
      </c>
      <c r="Z22" s="129">
        <f t="shared" si="11"/>
        <v>55.184623403395541</v>
      </c>
      <c r="AA22" s="129">
        <f t="shared" si="12"/>
        <v>1.2328940781119204</v>
      </c>
      <c r="AB22" s="130">
        <f t="shared" si="7"/>
        <v>0</v>
      </c>
      <c r="AC22" s="130">
        <f t="shared" si="8"/>
        <v>0</v>
      </c>
      <c r="AD22" s="129">
        <f t="shared" si="13"/>
        <v>87.69999999999709</v>
      </c>
      <c r="AE22" s="131">
        <v>100</v>
      </c>
      <c r="AF22" s="165" t="s">
        <v>197</v>
      </c>
      <c r="AG22" s="128">
        <v>37</v>
      </c>
      <c r="AH22" s="128">
        <v>37</v>
      </c>
      <c r="AI22" s="159">
        <v>100</v>
      </c>
      <c r="AJ22" s="135"/>
    </row>
    <row r="23" spans="1:36" s="136" customFormat="1" ht="68.25" customHeight="1" x14ac:dyDescent="0.2">
      <c r="A23" s="15">
        <v>3411</v>
      </c>
      <c r="B23" s="127" t="s">
        <v>198</v>
      </c>
      <c r="C23" s="157" t="s">
        <v>41</v>
      </c>
      <c r="D23" s="164">
        <v>1</v>
      </c>
      <c r="E23" s="157" t="s">
        <v>187</v>
      </c>
      <c r="F23" s="128">
        <v>10</v>
      </c>
      <c r="G23" s="128">
        <v>10</v>
      </c>
      <c r="H23" s="129">
        <f t="shared" si="0"/>
        <v>0</v>
      </c>
      <c r="I23" s="130">
        <f t="shared" si="21"/>
        <v>0</v>
      </c>
      <c r="J23" s="130">
        <f t="shared" si="14"/>
        <v>0</v>
      </c>
      <c r="K23" s="128">
        <v>10</v>
      </c>
      <c r="L23" s="129">
        <f t="shared" si="1"/>
        <v>100</v>
      </c>
      <c r="M23" s="130">
        <f t="shared" si="15"/>
        <v>0</v>
      </c>
      <c r="N23" s="130">
        <f t="shared" si="16"/>
        <v>0</v>
      </c>
      <c r="O23" s="129">
        <v>1675.6</v>
      </c>
      <c r="P23" s="129">
        <v>1675.6</v>
      </c>
      <c r="Q23" s="129">
        <f t="shared" si="9"/>
        <v>0</v>
      </c>
      <c r="R23" s="130">
        <f t="shared" si="17"/>
        <v>0</v>
      </c>
      <c r="S23" s="130">
        <f t="shared" si="18"/>
        <v>0</v>
      </c>
      <c r="T23" s="129">
        <v>1675.6</v>
      </c>
      <c r="U23" s="129">
        <v>1675.6</v>
      </c>
      <c r="V23" s="129">
        <f t="shared" si="3"/>
        <v>100</v>
      </c>
      <c r="W23" s="130">
        <f t="shared" si="19"/>
        <v>0</v>
      </c>
      <c r="X23" s="130">
        <f t="shared" si="20"/>
        <v>0</v>
      </c>
      <c r="Y23" s="129">
        <f t="shared" si="10"/>
        <v>167560</v>
      </c>
      <c r="Z23" s="129">
        <f t="shared" si="11"/>
        <v>167560</v>
      </c>
      <c r="AA23" s="129">
        <f t="shared" si="12"/>
        <v>0</v>
      </c>
      <c r="AB23" s="130">
        <f t="shared" si="7"/>
        <v>0</v>
      </c>
      <c r="AC23" s="130">
        <f t="shared" si="8"/>
        <v>0</v>
      </c>
      <c r="AD23" s="129">
        <f t="shared" si="13"/>
        <v>0</v>
      </c>
      <c r="AE23" s="131">
        <v>100</v>
      </c>
      <c r="AF23" s="165"/>
      <c r="AG23" s="128"/>
      <c r="AH23" s="128"/>
      <c r="AI23" s="159"/>
      <c r="AJ23" s="135"/>
    </row>
    <row r="24" spans="1:36" s="136" customFormat="1" ht="96.75" customHeight="1" x14ac:dyDescent="0.2">
      <c r="A24" s="15">
        <v>3408</v>
      </c>
      <c r="B24" s="127" t="s">
        <v>199</v>
      </c>
      <c r="C24" s="157" t="s">
        <v>41</v>
      </c>
      <c r="D24" s="164">
        <v>1</v>
      </c>
      <c r="E24" s="73" t="s">
        <v>200</v>
      </c>
      <c r="F24" s="128">
        <v>235700</v>
      </c>
      <c r="G24" s="128">
        <v>300000</v>
      </c>
      <c r="H24" s="129">
        <f t="shared" si="0"/>
        <v>27.280441238862963</v>
      </c>
      <c r="I24" s="130">
        <f t="shared" si="21"/>
        <v>1</v>
      </c>
      <c r="J24" s="130">
        <f t="shared" si="14"/>
        <v>0</v>
      </c>
      <c r="K24" s="128">
        <v>297841</v>
      </c>
      <c r="L24" s="129">
        <f t="shared" si="1"/>
        <v>99.280333333333331</v>
      </c>
      <c r="M24" s="130">
        <f t="shared" si="15"/>
        <v>0</v>
      </c>
      <c r="N24" s="130">
        <f t="shared" si="16"/>
        <v>0</v>
      </c>
      <c r="O24" s="129">
        <v>105743.1</v>
      </c>
      <c r="P24" s="129">
        <v>187068.1</v>
      </c>
      <c r="Q24" s="129">
        <f t="shared" si="9"/>
        <v>76.908091402654165</v>
      </c>
      <c r="R24" s="130">
        <f t="shared" si="17"/>
        <v>1</v>
      </c>
      <c r="S24" s="130">
        <f t="shared" si="18"/>
        <v>0</v>
      </c>
      <c r="T24" s="129">
        <v>187068.1</v>
      </c>
      <c r="U24" s="129">
        <v>185584.2</v>
      </c>
      <c r="V24" s="129">
        <f t="shared" si="3"/>
        <v>99.206759463532265</v>
      </c>
      <c r="W24" s="130">
        <f t="shared" si="19"/>
        <v>0</v>
      </c>
      <c r="X24" s="130">
        <f t="shared" si="20"/>
        <v>0</v>
      </c>
      <c r="Y24" s="129">
        <f t="shared" si="10"/>
        <v>448.63428086550704</v>
      </c>
      <c r="Z24" s="129">
        <f t="shared" si="11"/>
        <v>623.56033333333335</v>
      </c>
      <c r="AA24" s="129">
        <f t="shared" si="12"/>
        <v>38.990790478685284</v>
      </c>
      <c r="AB24" s="130">
        <f t="shared" si="7"/>
        <v>1</v>
      </c>
      <c r="AC24" s="130">
        <f t="shared" si="8"/>
        <v>0</v>
      </c>
      <c r="AD24" s="129">
        <f t="shared" si="13"/>
        <v>1483.8999999999942</v>
      </c>
      <c r="AE24" s="131">
        <v>100</v>
      </c>
      <c r="AF24" s="165" t="s">
        <v>201</v>
      </c>
      <c r="AG24" s="128" t="s">
        <v>202</v>
      </c>
      <c r="AH24" s="128" t="s">
        <v>202</v>
      </c>
      <c r="AI24" s="159"/>
      <c r="AJ24" s="135"/>
    </row>
    <row r="25" spans="1:36" s="136" customFormat="1" ht="51.75" customHeight="1" x14ac:dyDescent="0.2">
      <c r="A25" s="15">
        <v>3409</v>
      </c>
      <c r="B25" s="168" t="s">
        <v>203</v>
      </c>
      <c r="C25" s="157" t="s">
        <v>41</v>
      </c>
      <c r="D25" s="164">
        <v>1</v>
      </c>
      <c r="E25" s="157" t="s">
        <v>187</v>
      </c>
      <c r="F25" s="128">
        <v>82</v>
      </c>
      <c r="G25" s="128">
        <v>82</v>
      </c>
      <c r="H25" s="129">
        <f t="shared" si="0"/>
        <v>0</v>
      </c>
      <c r="I25" s="130">
        <f t="shared" si="21"/>
        <v>0</v>
      </c>
      <c r="J25" s="130">
        <f t="shared" si="14"/>
        <v>0</v>
      </c>
      <c r="K25" s="128">
        <v>82</v>
      </c>
      <c r="L25" s="129">
        <f t="shared" si="1"/>
        <v>100</v>
      </c>
      <c r="M25" s="130">
        <f t="shared" si="15"/>
        <v>0</v>
      </c>
      <c r="N25" s="130">
        <f t="shared" si="16"/>
        <v>0</v>
      </c>
      <c r="O25" s="129">
        <v>6628.6</v>
      </c>
      <c r="P25" s="129">
        <v>6369.2933899999998</v>
      </c>
      <c r="Q25" s="129">
        <f t="shared" si="9"/>
        <v>-3.9119363063090331</v>
      </c>
      <c r="R25" s="130">
        <f t="shared" si="17"/>
        <v>0</v>
      </c>
      <c r="S25" s="130">
        <f t="shared" si="18"/>
        <v>0</v>
      </c>
      <c r="T25" s="129">
        <v>6369.2933899999998</v>
      </c>
      <c r="U25" s="129">
        <v>6369.3</v>
      </c>
      <c r="V25" s="129">
        <f t="shared" si="3"/>
        <v>100.0001037791729</v>
      </c>
      <c r="W25" s="130">
        <f t="shared" si="19"/>
        <v>0</v>
      </c>
      <c r="X25" s="130">
        <f t="shared" si="20"/>
        <v>0</v>
      </c>
      <c r="Y25" s="129">
        <f t="shared" si="10"/>
        <v>80836.585365853665</v>
      </c>
      <c r="Z25" s="129">
        <f t="shared" si="11"/>
        <v>77674.309634146339</v>
      </c>
      <c r="AA25" s="129">
        <f t="shared" si="12"/>
        <v>-3.9119363063090358</v>
      </c>
      <c r="AB25" s="130">
        <f t="shared" si="7"/>
        <v>0</v>
      </c>
      <c r="AC25" s="130">
        <f t="shared" si="8"/>
        <v>0</v>
      </c>
      <c r="AD25" s="140">
        <f t="shared" si="13"/>
        <v>-6.61000000036438E-3</v>
      </c>
      <c r="AE25" s="131">
        <v>100</v>
      </c>
      <c r="AF25" s="165" t="s">
        <v>194</v>
      </c>
      <c r="AG25" s="128">
        <v>95.1</v>
      </c>
      <c r="AH25" s="128">
        <v>95.1</v>
      </c>
      <c r="AI25" s="159">
        <f>AH25/AG25*100</f>
        <v>100</v>
      </c>
      <c r="AJ25" s="135"/>
    </row>
    <row r="26" spans="1:36" s="136" customFormat="1" ht="45.95" customHeight="1" x14ac:dyDescent="0.2">
      <c r="A26" s="15">
        <v>3410</v>
      </c>
      <c r="B26" s="168" t="s">
        <v>204</v>
      </c>
      <c r="C26" s="157" t="s">
        <v>41</v>
      </c>
      <c r="D26" s="164">
        <v>1</v>
      </c>
      <c r="E26" s="157" t="s">
        <v>187</v>
      </c>
      <c r="F26" s="128">
        <v>5</v>
      </c>
      <c r="G26" s="128">
        <v>5</v>
      </c>
      <c r="H26" s="129">
        <f t="shared" si="0"/>
        <v>0</v>
      </c>
      <c r="I26" s="130">
        <f t="shared" si="21"/>
        <v>0</v>
      </c>
      <c r="J26" s="130">
        <f t="shared" si="14"/>
        <v>0</v>
      </c>
      <c r="K26" s="128">
        <v>5</v>
      </c>
      <c r="L26" s="129">
        <f t="shared" si="1"/>
        <v>100</v>
      </c>
      <c r="M26" s="130">
        <f t="shared" si="15"/>
        <v>0</v>
      </c>
      <c r="N26" s="130">
        <f t="shared" si="16"/>
        <v>0</v>
      </c>
      <c r="O26" s="129">
        <v>1656.8</v>
      </c>
      <c r="P26" s="129">
        <v>1656.8</v>
      </c>
      <c r="Q26" s="129">
        <f t="shared" si="9"/>
        <v>0</v>
      </c>
      <c r="R26" s="130">
        <f t="shared" si="17"/>
        <v>0</v>
      </c>
      <c r="S26" s="130">
        <f t="shared" si="18"/>
        <v>0</v>
      </c>
      <c r="T26" s="129">
        <v>1656.8</v>
      </c>
      <c r="U26" s="129">
        <v>1656.6</v>
      </c>
      <c r="V26" s="129">
        <f t="shared" si="3"/>
        <v>99.987928536938682</v>
      </c>
      <c r="W26" s="130">
        <f t="shared" si="19"/>
        <v>0</v>
      </c>
      <c r="X26" s="130">
        <f t="shared" si="20"/>
        <v>0</v>
      </c>
      <c r="Y26" s="129">
        <f t="shared" si="10"/>
        <v>331360</v>
      </c>
      <c r="Z26" s="129">
        <f t="shared" si="11"/>
        <v>331360</v>
      </c>
      <c r="AA26" s="129">
        <f t="shared" si="12"/>
        <v>0</v>
      </c>
      <c r="AB26" s="130">
        <f t="shared" si="7"/>
        <v>0</v>
      </c>
      <c r="AC26" s="130">
        <f t="shared" si="8"/>
        <v>0</v>
      </c>
      <c r="AD26" s="129">
        <f t="shared" si="13"/>
        <v>0.20000000000004547</v>
      </c>
      <c r="AE26" s="131">
        <v>100</v>
      </c>
      <c r="AF26" s="165"/>
      <c r="AG26" s="128"/>
      <c r="AH26" s="128"/>
      <c r="AI26" s="159"/>
      <c r="AJ26" s="135"/>
    </row>
    <row r="27" spans="1:36" s="136" customFormat="1" ht="113.25" customHeight="1" x14ac:dyDescent="0.2">
      <c r="A27" s="15">
        <v>2420</v>
      </c>
      <c r="B27" s="127" t="s">
        <v>205</v>
      </c>
      <c r="C27" s="157" t="s">
        <v>41</v>
      </c>
      <c r="D27" s="169">
        <v>1</v>
      </c>
      <c r="E27" s="15" t="s">
        <v>206</v>
      </c>
      <c r="F27" s="128">
        <v>4289</v>
      </c>
      <c r="G27" s="128">
        <v>4289</v>
      </c>
      <c r="H27" s="129">
        <f t="shared" si="0"/>
        <v>0</v>
      </c>
      <c r="I27" s="130">
        <f t="shared" si="21"/>
        <v>0</v>
      </c>
      <c r="J27" s="130">
        <f t="shared" si="14"/>
        <v>0</v>
      </c>
      <c r="K27" s="128">
        <v>4289</v>
      </c>
      <c r="L27" s="129">
        <f t="shared" si="1"/>
        <v>100</v>
      </c>
      <c r="M27" s="130">
        <f t="shared" si="15"/>
        <v>0</v>
      </c>
      <c r="N27" s="130">
        <f t="shared" si="16"/>
        <v>0</v>
      </c>
      <c r="O27" s="129">
        <v>10022.1</v>
      </c>
      <c r="P27" s="129">
        <v>10022.1</v>
      </c>
      <c r="Q27" s="129">
        <f t="shared" si="9"/>
        <v>0</v>
      </c>
      <c r="R27" s="130">
        <f t="shared" si="17"/>
        <v>0</v>
      </c>
      <c r="S27" s="130">
        <f t="shared" si="18"/>
        <v>0</v>
      </c>
      <c r="T27" s="129">
        <v>10012.6</v>
      </c>
      <c r="U27" s="129">
        <v>10012.6</v>
      </c>
      <c r="V27" s="129">
        <f t="shared" si="3"/>
        <v>99.905209487033659</v>
      </c>
      <c r="W27" s="130">
        <f t="shared" si="19"/>
        <v>0</v>
      </c>
      <c r="X27" s="130">
        <f t="shared" si="20"/>
        <v>0</v>
      </c>
      <c r="Y27" s="129">
        <f t="shared" si="10"/>
        <v>2336.6985311261365</v>
      </c>
      <c r="Z27" s="129">
        <f t="shared" si="11"/>
        <v>2336.6985311261365</v>
      </c>
      <c r="AA27" s="129">
        <f t="shared" si="12"/>
        <v>0</v>
      </c>
      <c r="AB27" s="130">
        <f t="shared" si="7"/>
        <v>0</v>
      </c>
      <c r="AC27" s="130">
        <f t="shared" si="8"/>
        <v>0</v>
      </c>
      <c r="AD27" s="129">
        <f t="shared" si="13"/>
        <v>0</v>
      </c>
      <c r="AE27" s="131">
        <v>100</v>
      </c>
      <c r="AF27" s="170" t="s">
        <v>185</v>
      </c>
      <c r="AG27" s="171">
        <v>98.5</v>
      </c>
      <c r="AH27" s="171">
        <v>98.5</v>
      </c>
      <c r="AI27" s="159">
        <f>AH27/AG27*100</f>
        <v>100</v>
      </c>
      <c r="AJ27" s="135"/>
    </row>
    <row r="28" spans="1:36" s="179" customFormat="1" ht="20.25" customHeight="1" x14ac:dyDescent="0.25">
      <c r="A28" s="172"/>
      <c r="B28" s="173" t="s">
        <v>43</v>
      </c>
      <c r="C28" s="91"/>
      <c r="D28" s="91"/>
      <c r="E28" s="174"/>
      <c r="F28" s="175"/>
      <c r="G28" s="175"/>
      <c r="H28" s="92"/>
      <c r="I28" s="176"/>
      <c r="J28" s="176"/>
      <c r="K28" s="175"/>
      <c r="L28" s="92"/>
      <c r="M28" s="176"/>
      <c r="N28" s="176"/>
      <c r="O28" s="175">
        <f>SUM(O8:O27)</f>
        <v>6629619.4999999991</v>
      </c>
      <c r="P28" s="92">
        <f>SUM(P8:P27)</f>
        <v>6973614.1933899987</v>
      </c>
      <c r="Q28" s="92">
        <f t="shared" si="9"/>
        <v>5.1887546998737974</v>
      </c>
      <c r="R28" s="176"/>
      <c r="S28" s="176"/>
      <c r="T28" s="92">
        <f>SUM(T8:T27)</f>
        <v>6968078.6933899987</v>
      </c>
      <c r="U28" s="92">
        <f>SUM(U8:U27)</f>
        <v>6909511.7999999989</v>
      </c>
      <c r="V28" s="92">
        <f t="shared" si="3"/>
        <v>99.080786639290139</v>
      </c>
      <c r="W28" s="176"/>
      <c r="X28" s="176"/>
      <c r="Y28" s="92"/>
      <c r="Z28" s="92"/>
      <c r="AA28" s="92"/>
      <c r="AB28" s="176"/>
      <c r="AC28" s="176"/>
      <c r="AD28" s="92">
        <f>SUM(AD8:AD27)</f>
        <v>58566.893389999794</v>
      </c>
      <c r="AE28" s="92"/>
      <c r="AF28" s="177"/>
      <c r="AG28" s="178"/>
      <c r="AH28" s="100"/>
      <c r="AI28" s="73"/>
    </row>
    <row r="29" spans="1:36" s="179" customFormat="1" ht="20.25" customHeight="1" x14ac:dyDescent="0.2">
      <c r="A29" s="180"/>
      <c r="B29" s="173" t="s">
        <v>44</v>
      </c>
      <c r="C29" s="91"/>
      <c r="D29" s="91"/>
      <c r="E29" s="174"/>
      <c r="F29" s="175"/>
      <c r="G29" s="175"/>
      <c r="H29" s="92"/>
      <c r="I29" s="176"/>
      <c r="J29" s="176"/>
      <c r="K29" s="175"/>
      <c r="L29" s="92"/>
      <c r="M29" s="176"/>
      <c r="N29" s="176"/>
      <c r="O29" s="175"/>
      <c r="P29" s="92"/>
      <c r="Q29" s="92"/>
      <c r="R29" s="176"/>
      <c r="S29" s="176"/>
      <c r="T29" s="92"/>
      <c r="U29" s="92"/>
      <c r="V29" s="92"/>
      <c r="W29" s="176"/>
      <c r="X29" s="176"/>
      <c r="Y29" s="92"/>
      <c r="Z29" s="92"/>
      <c r="AA29" s="92"/>
      <c r="AB29" s="176"/>
      <c r="AC29" s="176"/>
      <c r="AD29" s="92"/>
      <c r="AE29" s="92"/>
      <c r="AF29" s="177"/>
      <c r="AG29" s="178"/>
      <c r="AH29" s="100"/>
      <c r="AI29" s="73"/>
    </row>
    <row r="30" spans="1:36" s="179" customFormat="1" ht="20.25" customHeight="1" x14ac:dyDescent="0.2">
      <c r="A30" s="180"/>
      <c r="B30" s="173" t="s">
        <v>45</v>
      </c>
      <c r="C30" s="91"/>
      <c r="D30" s="91"/>
      <c r="E30" s="174"/>
      <c r="F30" s="175"/>
      <c r="G30" s="175"/>
      <c r="H30" s="92"/>
      <c r="I30" s="176"/>
      <c r="J30" s="176"/>
      <c r="K30" s="175"/>
      <c r="L30" s="92"/>
      <c r="M30" s="176"/>
      <c r="N30" s="176"/>
      <c r="O30" s="175">
        <f>O28</f>
        <v>6629619.4999999991</v>
      </c>
      <c r="P30" s="92">
        <f>P28+P29</f>
        <v>6973614.1933899987</v>
      </c>
      <c r="Q30" s="92">
        <f>((P30-O30)/O30*100)</f>
        <v>5.1887546998737974</v>
      </c>
      <c r="R30" s="176"/>
      <c r="S30" s="176"/>
      <c r="T30" s="92">
        <f>T28+T29</f>
        <v>6968078.6933899987</v>
      </c>
      <c r="U30" s="92">
        <f>U28+U29</f>
        <v>6909511.7999999989</v>
      </c>
      <c r="V30" s="92">
        <f>V28+V29</f>
        <v>99.080786639290139</v>
      </c>
      <c r="W30" s="176"/>
      <c r="X30" s="176"/>
      <c r="Y30" s="92"/>
      <c r="Z30" s="92"/>
      <c r="AA30" s="92"/>
      <c r="AB30" s="176"/>
      <c r="AC30" s="176"/>
      <c r="AD30" s="92">
        <f>AD28</f>
        <v>58566.893389999794</v>
      </c>
      <c r="AE30" s="92"/>
      <c r="AF30" s="177"/>
      <c r="AG30" s="178"/>
      <c r="AH30" s="100"/>
      <c r="AI30" s="73"/>
    </row>
  </sheetData>
  <mergeCells count="32"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W5:X5"/>
    <mergeCell ref="Q5:Q6"/>
    <mergeCell ref="R5:S5"/>
    <mergeCell ref="T5:T6"/>
    <mergeCell ref="U5:U6"/>
    <mergeCell ref="V5:V6"/>
  </mergeCells>
  <pageMargins left="0.70833333333333304" right="0.70833333333333304" top="0.74861111111111101" bottom="0.74791666666666701" header="0.31527777777777799" footer="0.51180555555555496"/>
  <pageSetup paperSize="8" scale="35" firstPageNumber="0" fitToHeight="0" orientation="landscape" horizontalDpi="300" verticalDpi="300" r:id="rId1"/>
  <headerFooter>
    <oddHeader>&amp;R&amp;"Times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25</vt:i4>
      </vt:variant>
    </vt:vector>
  </HeadingPairs>
  <TitlesOfParts>
    <vt:vector size="35" baseType="lpstr">
      <vt:lpstr>Администрация (ТК Салават)</vt:lpstr>
      <vt:lpstr>ГО и ЧС (Пож.охрана)</vt:lpstr>
      <vt:lpstr>УГХ (Ритуал, Флора)</vt:lpstr>
      <vt:lpstr>ОК</vt:lpstr>
      <vt:lpstr>УФКС</vt:lpstr>
      <vt:lpstr>КДМ</vt:lpstr>
      <vt:lpstr>УО</vt:lpstr>
      <vt:lpstr>Пример заполн. по Минкультуры</vt:lpstr>
      <vt:lpstr>Пример заполнения по Минобр.</vt:lpstr>
      <vt:lpstr>Пример заполнения по Госком. ЧС</vt:lpstr>
      <vt:lpstr>'Администрация (ТК Салават)'!_ФильтрБазыДанных</vt:lpstr>
      <vt:lpstr>'ГО и ЧС (Пож.охрана)'!_ФильтрБазыДанных</vt:lpstr>
      <vt:lpstr>КДМ!_ФильтрБазыДанных</vt:lpstr>
      <vt:lpstr>ОК!_ФильтрБазыДанных</vt:lpstr>
      <vt:lpstr>'Пример заполн. по Минкультуры'!_ФильтрБазыДанных</vt:lpstr>
      <vt:lpstr>'УГХ (Ритуал, Флора)'!_ФильтрБазыДанных</vt:lpstr>
      <vt:lpstr>УО!_ФильтрБазыДанных</vt:lpstr>
      <vt:lpstr>УФКС!_ФильтрБазыДанных</vt:lpstr>
      <vt:lpstr>'Администрация (ТК Салават)'!Заголовки_для_печати</vt:lpstr>
      <vt:lpstr>'ГО и ЧС (Пож.охрана)'!Заголовки_для_печати</vt:lpstr>
      <vt:lpstr>КДМ!Заголовки_для_печати</vt:lpstr>
      <vt:lpstr>ОК!Заголовки_для_печати</vt:lpstr>
      <vt:lpstr>'Пример заполн. по Минкультуры'!Заголовки_для_печати</vt:lpstr>
      <vt:lpstr>'УГХ (Ритуал, Флора)'!Заголовки_для_печати</vt:lpstr>
      <vt:lpstr>УО!Заголовки_для_печати</vt:lpstr>
      <vt:lpstr>УФКС!Заголовки_для_печати</vt:lpstr>
      <vt:lpstr>'Администрация (ТК Салават)'!Область_печати</vt:lpstr>
      <vt:lpstr>'ГО и ЧС (Пож.охрана)'!Область_печати</vt:lpstr>
      <vt:lpstr>КДМ!Область_печати</vt:lpstr>
      <vt:lpstr>ОК!Область_печати</vt:lpstr>
      <vt:lpstr>'Пример заполн. по Минкультуры'!Область_печати</vt:lpstr>
      <vt:lpstr>'Пример заполнения по Минобр.'!Область_печати</vt:lpstr>
      <vt:lpstr>'УГХ (Ритуал, Флора)'!Область_печати</vt:lpstr>
      <vt:lpstr>УО!Область_печати</vt:lpstr>
      <vt:lpstr>УФКС!Область_печати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Людмила Александровна Зверева</dc:creator>
  <dc:description/>
  <cp:lastModifiedBy>Людмила Александровна Зверева</cp:lastModifiedBy>
  <cp:revision>1</cp:revision>
  <cp:lastPrinted>2021-03-22T06:03:01Z</cp:lastPrinted>
  <dcterms:created xsi:type="dcterms:W3CDTF">2006-09-16T00:00:00Z</dcterms:created>
  <dcterms:modified xsi:type="dcterms:W3CDTF">2021-03-22T06:03:03Z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