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3 Иные материалы\"/>
    </mc:Choice>
  </mc:AlternateContent>
  <bookViews>
    <workbookView xWindow="0" yWindow="0" windowWidth="15360" windowHeight="8340" tabRatio="903" activeTab="6"/>
  </bookViews>
  <sheets>
    <sheet name="Администрация (ТК Салават)" sheetId="1" r:id="rId1"/>
    <sheet name="ГО и ЧС (Пож.охрана)" sheetId="2" r:id="rId2"/>
    <sheet name="УГХ (Ритуал, Флора)" sheetId="3" r:id="rId3"/>
    <sheet name="ОК" sheetId="4" r:id="rId4"/>
    <sheet name="УФКС" sheetId="5" r:id="rId5"/>
    <sheet name="КДМ" sheetId="6" r:id="rId6"/>
    <sheet name="УО" sheetId="7" r:id="rId7"/>
    <sheet name="Муниц.услуги по отраслям" sheetId="11" r:id="rId8"/>
    <sheet name="Данные для заполнения" sheetId="12" r:id="rId9"/>
  </sheets>
  <definedNames>
    <definedName name="_xlnm._FilterDatabase" localSheetId="0">'Администрация (ТК Салават)'!$A$7:$AI$10</definedName>
    <definedName name="_xlnm._FilterDatabase" localSheetId="1">'ГО и ЧС (Пож.охрана)'!$A$7:$AI$12</definedName>
    <definedName name="_xlnm._FilterDatabase" localSheetId="8" hidden="1">'Данные для заполнения'!$B$5:$H$70</definedName>
    <definedName name="_xlnm._FilterDatabase" localSheetId="5">КДМ!$A$7:$AI$10</definedName>
    <definedName name="_xlnm._FilterDatabase" localSheetId="3">ОК!$A$7:$AI$17</definedName>
    <definedName name="_xlnm._FilterDatabase" localSheetId="2">'УГХ (Ритуал, Флора)'!$A$7:$AI$11</definedName>
    <definedName name="_xlnm._FilterDatabase" localSheetId="6">УО!$A$7:$AI$24</definedName>
    <definedName name="_xlnm._FilterDatabase" localSheetId="4">УФКС!$A$7:$AI$13</definedName>
    <definedName name="_xlnm.Print_Titles" localSheetId="0">'Администрация (ТК Салават)'!$3:$7</definedName>
    <definedName name="_xlnm.Print_Titles" localSheetId="1">'ГО и ЧС (Пож.охрана)'!$3:$7</definedName>
    <definedName name="_xlnm.Print_Titles" localSheetId="5">КДМ!$3:$7</definedName>
    <definedName name="_xlnm.Print_Titles" localSheetId="3">ОК!$3:$7</definedName>
    <definedName name="_xlnm.Print_Titles" localSheetId="2">'УГХ (Ритуал, Флора)'!$3:$7</definedName>
    <definedName name="_xlnm.Print_Titles" localSheetId="6">УО!$3:$7</definedName>
    <definedName name="_xlnm.Print_Titles" localSheetId="4">УФКС!$3:$7</definedName>
    <definedName name="_xlnm.Print_Area" localSheetId="0">'Администрация (ТК Салават)'!$A$1:$AI$22</definedName>
    <definedName name="_xlnm.Print_Area" localSheetId="1">'ГО и ЧС (Пож.охрана)'!$A$1:$AI$23</definedName>
    <definedName name="_xlnm.Print_Area" localSheetId="5">КДМ!$A$1:$AI$22</definedName>
    <definedName name="_xlnm.Print_Area" localSheetId="3">ОК!$A$1:$AI$29</definedName>
    <definedName name="_xlnm.Print_Area" localSheetId="2">'УГХ (Ритуал, Флора)'!$A$1:$AI$26</definedName>
    <definedName name="_xlnm.Print_Area" localSheetId="6">УО!$A$1:$AI$35</definedName>
    <definedName name="_xlnm.Print_Area" localSheetId="4">УФКС!$A$1:$AI$24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2" i="12" l="1"/>
  <c r="E72" i="12"/>
  <c r="G72" i="12"/>
  <c r="AD8" i="3"/>
  <c r="AD10" i="3"/>
  <c r="Z8" i="3"/>
  <c r="Y8" i="3"/>
  <c r="AA8" i="3" s="1"/>
  <c r="AI9" i="3" l="1"/>
  <c r="V8" i="3"/>
  <c r="Q8" i="3"/>
  <c r="L9" i="3"/>
  <c r="H9" i="3"/>
  <c r="AI8" i="3"/>
  <c r="L8" i="3"/>
  <c r="H8" i="3"/>
  <c r="AI9" i="7" l="1"/>
  <c r="AI8" i="7"/>
  <c r="AI20" i="7" l="1"/>
  <c r="AI16" i="7"/>
  <c r="AD16" i="7"/>
  <c r="L21" i="7"/>
  <c r="Q16" i="7"/>
  <c r="H11" i="7"/>
  <c r="H9" i="7"/>
  <c r="L9" i="7"/>
  <c r="H8" i="7"/>
  <c r="U23" i="7"/>
  <c r="T23" i="7"/>
  <c r="Q22" i="7"/>
  <c r="P23" i="7"/>
  <c r="O23" i="7"/>
  <c r="AI22" i="7"/>
  <c r="AD22" i="7"/>
  <c r="Z22" i="7"/>
  <c r="Y22" i="7"/>
  <c r="V22" i="7"/>
  <c r="L22" i="7"/>
  <c r="H22" i="7"/>
  <c r="AI21" i="7"/>
  <c r="H21" i="7"/>
  <c r="AD20" i="7"/>
  <c r="Z20" i="7"/>
  <c r="Y20" i="7"/>
  <c r="V20" i="7"/>
  <c r="Q20" i="7"/>
  <c r="L20" i="7"/>
  <c r="H20" i="7"/>
  <c r="AI19" i="7"/>
  <c r="U19" i="7"/>
  <c r="T19" i="7"/>
  <c r="AD19" i="7" s="1"/>
  <c r="P19" i="7"/>
  <c r="Z19" i="7" s="1"/>
  <c r="O19" i="7"/>
  <c r="Y19" i="7" s="1"/>
  <c r="L19" i="7"/>
  <c r="H19" i="7"/>
  <c r="AI18" i="7"/>
  <c r="L18" i="7"/>
  <c r="H18" i="7"/>
  <c r="AI17" i="7"/>
  <c r="AA16" i="7"/>
  <c r="V16" i="7"/>
  <c r="L17" i="7"/>
  <c r="H17" i="7"/>
  <c r="L16" i="7"/>
  <c r="H16" i="7"/>
  <c r="AI15" i="7"/>
  <c r="AD15" i="7"/>
  <c r="Z15" i="7"/>
  <c r="AA15" i="7" s="1"/>
  <c r="Y15" i="7"/>
  <c r="V15" i="7"/>
  <c r="Q15" i="7"/>
  <c r="L15" i="7"/>
  <c r="H15" i="7"/>
  <c r="AI14" i="7"/>
  <c r="AD14" i="7"/>
  <c r="Z14" i="7"/>
  <c r="AA14" i="7" s="1"/>
  <c r="Y14" i="7"/>
  <c r="V14" i="7"/>
  <c r="Q14" i="7"/>
  <c r="L14" i="7"/>
  <c r="H14" i="7"/>
  <c r="AI13" i="7"/>
  <c r="AD13" i="7"/>
  <c r="Z13" i="7"/>
  <c r="AA13" i="7" s="1"/>
  <c r="Y13" i="7"/>
  <c r="V13" i="7"/>
  <c r="Q13" i="7"/>
  <c r="L13" i="7"/>
  <c r="H13" i="7"/>
  <c r="AI12" i="7"/>
  <c r="AD12" i="7"/>
  <c r="Z12" i="7"/>
  <c r="Y12" i="7"/>
  <c r="V12" i="7"/>
  <c r="Q12" i="7"/>
  <c r="L12" i="7"/>
  <c r="H12" i="7"/>
  <c r="AI11" i="7"/>
  <c r="AD11" i="7"/>
  <c r="Y11" i="7"/>
  <c r="G11" i="7"/>
  <c r="L11" i="7" s="1"/>
  <c r="F11" i="7"/>
  <c r="AI10" i="7"/>
  <c r="AD10" i="7"/>
  <c r="Z10" i="7"/>
  <c r="AA10" i="7" s="1"/>
  <c r="Y10" i="7"/>
  <c r="V10" i="7"/>
  <c r="Q10" i="7"/>
  <c r="L10" i="7"/>
  <c r="H10" i="7"/>
  <c r="AD9" i="7"/>
  <c r="Z9" i="7"/>
  <c r="G9" i="7"/>
  <c r="F9" i="7"/>
  <c r="Y9" i="7" s="1"/>
  <c r="AD8" i="7"/>
  <c r="Z8" i="7"/>
  <c r="Y8" i="7"/>
  <c r="V8" i="7"/>
  <c r="Q8" i="7"/>
  <c r="L8" i="7"/>
  <c r="AD23" i="7" l="1"/>
  <c r="V23" i="7"/>
  <c r="Q23" i="7"/>
  <c r="AA8" i="7"/>
  <c r="Z11" i="7"/>
  <c r="AA11" i="7" s="1"/>
  <c r="AA12" i="7"/>
  <c r="AA22" i="7"/>
  <c r="AA20" i="7"/>
  <c r="AA19" i="7"/>
  <c r="AA9" i="7"/>
  <c r="V19" i="7"/>
  <c r="Q19" i="7"/>
  <c r="D63" i="12" l="1"/>
  <c r="AD8" i="1" l="1"/>
  <c r="Z8" i="1"/>
  <c r="Y8" i="1"/>
  <c r="V8" i="1"/>
  <c r="AI8" i="1"/>
  <c r="Q8" i="1"/>
  <c r="L8" i="1"/>
  <c r="H8" i="1"/>
  <c r="AA8" i="1" l="1"/>
  <c r="V10" i="4" l="1"/>
  <c r="V9" i="4"/>
  <c r="V8" i="4"/>
  <c r="Q17" i="4"/>
  <c r="Q13" i="4"/>
  <c r="Q11" i="4"/>
  <c r="Q8" i="4"/>
  <c r="L16" i="4"/>
  <c r="H16" i="4"/>
  <c r="L15" i="4"/>
  <c r="H15" i="4"/>
  <c r="L14" i="4"/>
  <c r="H14" i="4"/>
  <c r="AI13" i="4"/>
  <c r="AD13" i="4"/>
  <c r="Z13" i="4"/>
  <c r="AA13" i="4" s="1"/>
  <c r="Y13" i="4"/>
  <c r="V13" i="4"/>
  <c r="L13" i="4"/>
  <c r="H13" i="4"/>
  <c r="L12" i="4"/>
  <c r="H12" i="4"/>
  <c r="AI11" i="4"/>
  <c r="AD11" i="4"/>
  <c r="Z11" i="4"/>
  <c r="AA11" i="4" s="1"/>
  <c r="Y11" i="4"/>
  <c r="V11" i="4"/>
  <c r="L11" i="4"/>
  <c r="H11" i="4"/>
  <c r="AI10" i="4"/>
  <c r="Z10" i="4"/>
  <c r="U10" i="4"/>
  <c r="T10" i="4"/>
  <c r="AD10" i="4" s="1"/>
  <c r="Q10" i="4"/>
  <c r="P10" i="4"/>
  <c r="K10" i="4"/>
  <c r="L10" i="4" s="1"/>
  <c r="H10" i="4"/>
  <c r="G10" i="4"/>
  <c r="F10" i="4"/>
  <c r="Y10" i="4" s="1"/>
  <c r="AI9" i="4"/>
  <c r="AD9" i="4"/>
  <c r="U9" i="4"/>
  <c r="T9" i="4"/>
  <c r="P9" i="4"/>
  <c r="Z9" i="4" s="1"/>
  <c r="O9" i="4"/>
  <c r="K9" i="4"/>
  <c r="L9" i="4" s="1"/>
  <c r="H9" i="4"/>
  <c r="G9" i="4"/>
  <c r="F9" i="4"/>
  <c r="Y9" i="4" s="1"/>
  <c r="AI8" i="4"/>
  <c r="AD8" i="4"/>
  <c r="Y8" i="4"/>
  <c r="U8" i="4"/>
  <c r="T8" i="4"/>
  <c r="P8" i="4"/>
  <c r="Z8" i="4" s="1"/>
  <c r="AA8" i="4" s="1"/>
  <c r="O8" i="4"/>
  <c r="K8" i="4"/>
  <c r="L8" i="4" s="1"/>
  <c r="H8" i="4"/>
  <c r="G8" i="4"/>
  <c r="F8" i="4"/>
  <c r="AA9" i="4" l="1"/>
  <c r="AA10" i="4"/>
  <c r="Q9" i="4"/>
  <c r="Q8" i="5" l="1"/>
  <c r="Q12" i="5"/>
  <c r="AI11" i="5"/>
  <c r="AD11" i="5"/>
  <c r="AA11" i="5"/>
  <c r="Y11" i="5"/>
  <c r="Q11" i="5"/>
  <c r="H11" i="5"/>
  <c r="AI10" i="5"/>
  <c r="AD10" i="5"/>
  <c r="Z10" i="5"/>
  <c r="AA10" i="5" s="1"/>
  <c r="Y10" i="5"/>
  <c r="V10" i="5"/>
  <c r="Q10" i="5"/>
  <c r="L10" i="5"/>
  <c r="H10" i="5"/>
  <c r="AI9" i="5"/>
  <c r="AD9" i="5"/>
  <c r="Z9" i="5"/>
  <c r="AA9" i="5" s="1"/>
  <c r="Y9" i="5"/>
  <c r="V9" i="5"/>
  <c r="Q9" i="5"/>
  <c r="L9" i="5"/>
  <c r="H9" i="5"/>
  <c r="AI8" i="5"/>
  <c r="AD8" i="5"/>
  <c r="AA8" i="5"/>
  <c r="Z8" i="5"/>
  <c r="Y8" i="5"/>
  <c r="V8" i="5"/>
  <c r="L8" i="5"/>
  <c r="H8" i="5"/>
  <c r="V11" i="3" l="1"/>
  <c r="Z10" i="3"/>
  <c r="Y10" i="3"/>
  <c r="Z11" i="3"/>
  <c r="Y11" i="3"/>
  <c r="Q11" i="3"/>
  <c r="L10" i="3"/>
  <c r="L13" i="3"/>
  <c r="H13" i="3"/>
  <c r="L12" i="3"/>
  <c r="H12" i="3"/>
  <c r="AD11" i="3"/>
  <c r="L11" i="3"/>
  <c r="H11" i="3"/>
  <c r="AI10" i="3"/>
  <c r="V10" i="3"/>
  <c r="Q10" i="3"/>
  <c r="H10" i="3"/>
  <c r="AA10" i="3" l="1"/>
  <c r="AA11" i="3"/>
  <c r="Z9" i="6" l="1"/>
  <c r="Z8" i="6"/>
  <c r="AA8" i="6" s="1"/>
  <c r="Y9" i="6"/>
  <c r="Y8" i="6"/>
  <c r="AI9" i="6"/>
  <c r="AD9" i="6"/>
  <c r="V9" i="6"/>
  <c r="Q9" i="6"/>
  <c r="L9" i="6"/>
  <c r="H9" i="6"/>
  <c r="AI8" i="6"/>
  <c r="AD8" i="6"/>
  <c r="V8" i="6"/>
  <c r="Q8" i="6"/>
  <c r="L8" i="6"/>
  <c r="H8" i="6"/>
  <c r="AA9" i="6" l="1"/>
  <c r="AD8" i="2" l="1"/>
  <c r="AA8" i="2"/>
  <c r="Y8" i="2"/>
  <c r="Z8" i="2"/>
  <c r="V8" i="2" l="1"/>
  <c r="V11" i="2"/>
  <c r="H39" i="12"/>
  <c r="H8" i="2"/>
  <c r="AI10" i="2"/>
  <c r="AI9" i="2"/>
  <c r="AI8" i="2"/>
  <c r="Q8" i="2"/>
  <c r="L8" i="2"/>
  <c r="O24" i="7" l="1"/>
  <c r="H58" i="12"/>
  <c r="H54" i="12"/>
  <c r="H49" i="12"/>
  <c r="H46" i="12"/>
  <c r="H30" i="12"/>
  <c r="H28" i="12"/>
  <c r="O17" i="4"/>
  <c r="O18" i="4" s="1"/>
  <c r="AD14" i="3"/>
  <c r="U14" i="3"/>
  <c r="U15" i="3" s="1"/>
  <c r="T14" i="3"/>
  <c r="T15" i="3" s="1"/>
  <c r="P14" i="3"/>
  <c r="P15" i="3" s="1"/>
  <c r="O14" i="3"/>
  <c r="O15" i="3" s="1"/>
  <c r="C72" i="12" s="1"/>
  <c r="E30" i="12"/>
  <c r="E35" i="12" s="1"/>
  <c r="E28" i="12"/>
  <c r="Q15" i="3" l="1"/>
  <c r="V14" i="3"/>
  <c r="V15" i="3"/>
  <c r="Q14" i="3"/>
  <c r="H20" i="12"/>
  <c r="H24" i="12"/>
  <c r="H16" i="12"/>
  <c r="D30" i="12"/>
  <c r="D28" i="12"/>
  <c r="H12" i="12"/>
  <c r="H9" i="12"/>
  <c r="H68" i="12"/>
  <c r="H67" i="12"/>
  <c r="H66" i="12"/>
  <c r="H65" i="12"/>
  <c r="H64" i="12"/>
  <c r="H63" i="12"/>
  <c r="H52" i="12"/>
  <c r="H43" i="12"/>
  <c r="H37" i="12"/>
  <c r="H6" i="12"/>
  <c r="D7" i="12"/>
  <c r="E7" i="12"/>
  <c r="G14" i="12" l="1"/>
  <c r="H14" i="12"/>
  <c r="F14" i="12"/>
  <c r="G11" i="12"/>
  <c r="G15" i="12" s="1"/>
  <c r="H11" i="12"/>
  <c r="F11" i="12"/>
  <c r="G7" i="12"/>
  <c r="H7" i="12"/>
  <c r="F7" i="12"/>
  <c r="F8" i="12"/>
  <c r="G8" i="12"/>
  <c r="H8" i="12"/>
  <c r="G19" i="12"/>
  <c r="H19" i="12"/>
  <c r="F19" i="12"/>
  <c r="G23" i="12"/>
  <c r="H23" i="12"/>
  <c r="F23" i="12"/>
  <c r="G27" i="12"/>
  <c r="H27" i="12"/>
  <c r="F27" i="12"/>
  <c r="G35" i="12"/>
  <c r="H35" i="12"/>
  <c r="F35" i="12"/>
  <c r="G38" i="12"/>
  <c r="H38" i="12"/>
  <c r="F38" i="12"/>
  <c r="G41" i="12"/>
  <c r="H41" i="12"/>
  <c r="F41" i="12"/>
  <c r="F44" i="12"/>
  <c r="F45" i="12" s="1"/>
  <c r="G44" i="12"/>
  <c r="G45" i="12" s="1"/>
  <c r="H44" i="12"/>
  <c r="H45" i="12" s="1"/>
  <c r="G48" i="12"/>
  <c r="H48" i="12"/>
  <c r="F48" i="12"/>
  <c r="G51" i="12"/>
  <c r="H51" i="12"/>
  <c r="F51" i="12"/>
  <c r="G53" i="12"/>
  <c r="H53" i="12"/>
  <c r="F53" i="12"/>
  <c r="G57" i="12"/>
  <c r="H57" i="12"/>
  <c r="F57" i="12"/>
  <c r="G61" i="12"/>
  <c r="H61" i="12"/>
  <c r="F61" i="12"/>
  <c r="F69" i="12"/>
  <c r="G69" i="12"/>
  <c r="H69" i="12"/>
  <c r="D69" i="12"/>
  <c r="E69" i="12"/>
  <c r="C69" i="12"/>
  <c r="C58" i="12"/>
  <c r="C61" i="12" s="1"/>
  <c r="C54" i="12"/>
  <c r="C49" i="12"/>
  <c r="C51" i="12" s="1"/>
  <c r="C46" i="12"/>
  <c r="C48" i="12" s="1"/>
  <c r="D48" i="12"/>
  <c r="E48" i="12"/>
  <c r="D51" i="12"/>
  <c r="E51" i="12"/>
  <c r="D53" i="12"/>
  <c r="E53" i="12"/>
  <c r="D57" i="12"/>
  <c r="E57" i="12"/>
  <c r="D61" i="12"/>
  <c r="E61" i="12"/>
  <c r="C57" i="12"/>
  <c r="C53" i="12"/>
  <c r="D44" i="12"/>
  <c r="D45" i="12" s="1"/>
  <c r="E44" i="12"/>
  <c r="E45" i="12" s="1"/>
  <c r="C44" i="12"/>
  <c r="C45" i="12" s="1"/>
  <c r="D38" i="12"/>
  <c r="E38" i="12"/>
  <c r="D41" i="12"/>
  <c r="E41" i="12"/>
  <c r="C41" i="12"/>
  <c r="C38" i="12"/>
  <c r="C20" i="12"/>
  <c r="C23" i="12" s="1"/>
  <c r="C24" i="12"/>
  <c r="C27" i="12" s="1"/>
  <c r="C28" i="12"/>
  <c r="C35" i="12" s="1"/>
  <c r="C16" i="12"/>
  <c r="C19" i="12" s="1"/>
  <c r="D35" i="12"/>
  <c r="D27" i="12"/>
  <c r="E27" i="12"/>
  <c r="D23" i="12"/>
  <c r="E23" i="12"/>
  <c r="D19" i="12"/>
  <c r="E19" i="12"/>
  <c r="D14" i="12"/>
  <c r="E14" i="12"/>
  <c r="D11" i="12"/>
  <c r="E11" i="12"/>
  <c r="C14" i="12"/>
  <c r="C11" i="12"/>
  <c r="D8" i="12"/>
  <c r="E8" i="12"/>
  <c r="C8" i="12"/>
  <c r="C7" i="12"/>
  <c r="F15" i="12" l="1"/>
  <c r="C42" i="12"/>
  <c r="D62" i="12"/>
  <c r="E62" i="12"/>
  <c r="E42" i="12"/>
  <c r="D36" i="12"/>
  <c r="F42" i="12"/>
  <c r="H42" i="12"/>
  <c r="E15" i="12"/>
  <c r="E36" i="12"/>
  <c r="G42" i="12"/>
  <c r="H15" i="12"/>
  <c r="F36" i="12"/>
  <c r="G36" i="12"/>
  <c r="H36" i="12"/>
  <c r="H62" i="12"/>
  <c r="G62" i="12"/>
  <c r="F62" i="12"/>
  <c r="D15" i="12"/>
  <c r="C15" i="12"/>
  <c r="C62" i="12"/>
  <c r="D42" i="12"/>
  <c r="C36" i="12"/>
  <c r="AD9" i="1"/>
  <c r="AD10" i="1" s="1"/>
  <c r="C70" i="12" l="1"/>
  <c r="E70" i="12"/>
  <c r="F70" i="12"/>
  <c r="D70" i="12"/>
  <c r="G70" i="12"/>
  <c r="H70" i="12"/>
  <c r="F43" i="11"/>
  <c r="F42" i="11"/>
  <c r="F35" i="11"/>
  <c r="F31" i="11"/>
  <c r="F25" i="11"/>
  <c r="F23" i="11"/>
  <c r="F22" i="11"/>
  <c r="F21" i="11"/>
  <c r="F20" i="11"/>
  <c r="E20" i="11"/>
  <c r="F19" i="11"/>
  <c r="F18" i="11" s="1"/>
  <c r="E19" i="11"/>
  <c r="F13" i="11"/>
  <c r="F10" i="11"/>
  <c r="F7" i="11"/>
  <c r="F5" i="11" s="1"/>
  <c r="U24" i="7" l="1"/>
  <c r="T24" i="7"/>
  <c r="P24" i="7"/>
  <c r="Q24" i="7" s="1"/>
  <c r="AD24" i="7"/>
  <c r="V24" i="7" l="1"/>
  <c r="U17" i="4" l="1"/>
  <c r="T17" i="4"/>
  <c r="T18" i="4" s="1"/>
  <c r="P17" i="4"/>
  <c r="P18" i="4" s="1"/>
  <c r="AD17" i="4" l="1"/>
  <c r="AD18" i="4" s="1"/>
  <c r="Q18" i="4"/>
  <c r="V17" i="4"/>
  <c r="U18" i="4"/>
  <c r="V18" i="4" s="1"/>
  <c r="P12" i="5"/>
  <c r="P13" i="5" s="1"/>
  <c r="U12" i="5"/>
  <c r="U13" i="5" s="1"/>
  <c r="V13" i="5" s="1"/>
  <c r="T12" i="5"/>
  <c r="AD12" i="5" l="1"/>
  <c r="AD13" i="5" s="1"/>
  <c r="T13" i="5"/>
  <c r="O12" i="5"/>
  <c r="O13" i="5" s="1"/>
  <c r="V12" i="5"/>
  <c r="U9" i="1"/>
  <c r="T9" i="1"/>
  <c r="T10" i="1" s="1"/>
  <c r="P9" i="1"/>
  <c r="P10" i="1" s="1"/>
  <c r="O9" i="1"/>
  <c r="O10" i="1" s="1"/>
  <c r="AD15" i="3"/>
  <c r="D72" i="12" l="1"/>
  <c r="V10" i="1"/>
  <c r="Q10" i="1"/>
  <c r="V9" i="1"/>
  <c r="U10" i="1"/>
  <c r="Q13" i="5"/>
  <c r="U10" i="6"/>
  <c r="U11" i="6" s="1"/>
  <c r="T10" i="6"/>
  <c r="P10" i="6"/>
  <c r="P11" i="6" s="1"/>
  <c r="O10" i="6"/>
  <c r="O11" i="6" s="1"/>
  <c r="AD10" i="6" l="1"/>
  <c r="AD11" i="6" s="1"/>
  <c r="T11" i="6"/>
  <c r="Q11" i="6"/>
  <c r="V11" i="6"/>
  <c r="V10" i="6"/>
  <c r="Q10" i="6"/>
  <c r="U11" i="2" l="1"/>
  <c r="T11" i="2"/>
  <c r="P11" i="2"/>
  <c r="O11" i="2"/>
  <c r="O12" i="2" s="1"/>
  <c r="Q11" i="2" l="1"/>
  <c r="AD11" i="2"/>
  <c r="AD12" i="2" s="1"/>
  <c r="U12" i="2"/>
  <c r="P12" i="2"/>
  <c r="Q12" i="2" s="1"/>
  <c r="T12" i="2"/>
  <c r="V12" i="2" l="1"/>
  <c r="Q9" i="1" l="1"/>
</calcChain>
</file>

<file path=xl/sharedStrings.xml><?xml version="1.0" encoding="utf-8"?>
<sst xmlns="http://schemas.openxmlformats.org/spreadsheetml/2006/main" count="718" uniqueCount="244">
  <si>
    <t xml:space="preserve">
Код бюджетного ассигнования</t>
  </si>
  <si>
    <t>Наименование услуги (работы)
(код бюджетного ассигнования)</t>
  </si>
  <si>
    <t>Основа предоставления (бесплатная, частично платная, платная)</t>
  </si>
  <si>
    <t>Кол-во учреж-дений</t>
  </si>
  <si>
    <t>Плановые и фактические показатели</t>
  </si>
  <si>
    <t>Сводная оценка качества оказания муниц.услуги</t>
  </si>
  <si>
    <t>Натуральные показатели</t>
  </si>
  <si>
    <t>Утвержденное значение
на начало года</t>
  </si>
  <si>
    <t>Уточненное значение
(последняя уточненная редакция)</t>
  </si>
  <si>
    <t>Отклонение уточненного значения 
от утвержденного, %
((26-25)/25 *100)</t>
  </si>
  <si>
    <t xml:space="preserve">Количество учреждений 
с отклонением уточненного значения 
от первоначально утвержденного значения  </t>
  </si>
  <si>
    <t>Ед. измерения</t>
  </si>
  <si>
    <t>Утвержденное значение в МЗ
на начало года</t>
  </si>
  <si>
    <t>Уточненное значение в МЗ
(последняя уточненная редакция)</t>
  </si>
  <si>
    <t>Отклонение уточненного значения 
от утвержденного, %
((7-6)/6*100)</t>
  </si>
  <si>
    <t>Количество учреждений 
с отклонением уточненного значения 
от первоначально утвержденного значения</t>
  </si>
  <si>
    <t>Фактическое 
значение</t>
  </si>
  <si>
    <t>Выполнение планового значения, % 
(11/7*100)</t>
  </si>
  <si>
    <t>Количество учреждений 
с выполнением планового значения</t>
  </si>
  <si>
    <t>Утвержденное значение субсидии на выполнение МЗ 
на начало года</t>
  </si>
  <si>
    <t>Уточненное значение субсидии на выполнение МЗ 
(последняя уточненная редакция)</t>
  </si>
  <si>
    <t>Отклонение уточненного значения 
от утвержденного, %
((16-15)/15 *100)</t>
  </si>
  <si>
    <t xml:space="preserve">Количество учреждений 
с отклонением уточненного значения 
от первоначально утвержденного значения  
</t>
  </si>
  <si>
    <t>Кассовый расход субсидии на выполнение МЗ учрежде-нием(ями)</t>
  </si>
  <si>
    <t>Выполнение планового значения, %
(21/16*100)</t>
  </si>
  <si>
    <t>на 10% и более 
в сторону увеличения</t>
  </si>
  <si>
    <t>на 10% и более
в сторону уменьшения</t>
  </si>
  <si>
    <t xml:space="preserve">110% и более </t>
  </si>
  <si>
    <t>90% и менее</t>
  </si>
  <si>
    <t>на 10% и более в сторону увеличения</t>
  </si>
  <si>
    <t>наименование показателя</t>
  </si>
  <si>
    <t xml:space="preserve">Выполнение планового значения, % (34/33*100) </t>
  </si>
  <si>
    <t xml:space="preserve">  </t>
  </si>
  <si>
    <t>Итого БЮДЖЕТ</t>
  </si>
  <si>
    <t>ВСЕГО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</si>
  <si>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</si>
  <si>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</si>
  <si>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</si>
  <si>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основных общеобразовательных программ дошкольного образования</t>
  </si>
  <si>
    <t>Обеспечение пожарной безопасности</t>
  </si>
  <si>
    <t>726</t>
  </si>
  <si>
    <t>Организация мероприятий,направленных на профилактику асоциального и деструктивного поведения подростков и молодежи, поддержка детей и молодежи, находящейся в социально - опасном положении</t>
  </si>
  <si>
    <t>Организация работы с подростками и молодежью</t>
  </si>
  <si>
    <t>732</t>
  </si>
  <si>
    <t>769</t>
  </si>
  <si>
    <t>Спортивная подготовка по олимпийским видам спорта</t>
  </si>
  <si>
    <t>Спортивная подготовка по неолимпийским видам спорта</t>
  </si>
  <si>
    <t>Спортивная подготовка по спорту глухих</t>
  </si>
  <si>
    <t>Спортивная подготовка по спорту лиц с поражением ОДА</t>
  </si>
  <si>
    <t>Библиотечное, библиографическое и информационное обслуживание пользователей библиотеки</t>
  </si>
  <si>
    <t>Заместитель главы Администрации -
начальник Финансового управления</t>
  </si>
  <si>
    <t>Исп. Зверева Л.А. 8(3476)35-20-20</t>
  </si>
  <si>
    <t>(подпись)</t>
  </si>
  <si>
    <t>Силкина Т.Н.</t>
  </si>
  <si>
    <t>(расшифровка)</t>
  </si>
  <si>
    <t>Реализация образовательных программ дополнительного образования детей</t>
  </si>
  <si>
    <t xml:space="preserve">Фактический объем субсидии на выполнение МЗ, доведенный до учрежде-ния(ий)  </t>
  </si>
  <si>
    <t xml:space="preserve">Публичный показ музейных предметов, музейных коллекций </t>
  </si>
  <si>
    <t>Ожидаемое выполнение муниципального задания на оказание муниципальных услуг (выполнение работ) муниципальными учреждениями городского округа город Салават Республики Башкортостан за 2021 год (оценка текущего финансового года) в натуральном и стоимостном выражениях</t>
  </si>
  <si>
    <t>№
п/п</t>
  </si>
  <si>
    <t>Наименование муниципальной  услуги (работы)</t>
  </si>
  <si>
    <t>Наименование показателя, характеризующего объем муниципальной услуги (работы)</t>
  </si>
  <si>
    <t>Ед. изм. объема муниципальной услуги (работы)</t>
  </si>
  <si>
    <t>Значение показателя объема муниципальной услуги (работы) по годам</t>
  </si>
  <si>
    <t>Расходы проекта бюджета городского округа город Салават Республики Башкортостан Республики Башкортостан на оказание муниципальной услуги (выполнение работы) по годам, 
рублей</t>
  </si>
  <si>
    <t>ИТОГО</t>
  </si>
  <si>
    <t>Администрация городского округа город Салават Республики Башкортостан</t>
  </si>
  <si>
    <t>Всего</t>
  </si>
  <si>
    <t>Услуги в области телевизионного вещания</t>
  </si>
  <si>
    <t>Количество телепередач</t>
  </si>
  <si>
    <t>Штук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</si>
  <si>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</si>
  <si>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Количество проведенных мероприятий</t>
  </si>
  <si>
    <t>Единица</t>
  </si>
  <si>
    <t>Управление городского хозяйства Администрации городского округа город Салават Республики Башкортостан</t>
  </si>
  <si>
    <t>Содержание мест погребения</t>
  </si>
  <si>
    <t>1. Площадь захоронений
2. Организация и ведение учета захоронений</t>
  </si>
  <si>
    <t>1. Квадратный метр
2. Единица</t>
  </si>
  <si>
    <t>1.727913
2. 1947</t>
  </si>
  <si>
    <t>Уборка территории и аналогичная деятельность</t>
  </si>
  <si>
    <t>Площадь территории</t>
  </si>
  <si>
    <t>Квадратный метр</t>
  </si>
  <si>
    <t>Организация благоустройства и озеленения в отношении объектов муниципальной собственности, мест общего пользования</t>
  </si>
  <si>
    <t>1. Количество объектов 
2. Количество обращений
3. Выполнение работ по организации благоустройства и озеленению</t>
  </si>
  <si>
    <t xml:space="preserve">1. Штука 
2. Штука 
3. Метр </t>
  </si>
  <si>
    <t>1. 11
2. 10 
3. 5606,4</t>
  </si>
  <si>
    <t>Отдел культуры Администрации городского округа город Салават Республики Башкортостан</t>
  </si>
  <si>
    <t>Реализация дополнительных предпрофессиональных программ в области искусств</t>
  </si>
  <si>
    <t xml:space="preserve">Количество человеко-часов  </t>
  </si>
  <si>
    <t>Человеко-час</t>
  </si>
  <si>
    <t>Реализация дополнительных общеразвивающих программ</t>
  </si>
  <si>
    <t>Количество человеко-часов</t>
  </si>
  <si>
    <t>Количество посещений</t>
  </si>
  <si>
    <t xml:space="preserve"> 1. Число посетителей
2. Количество выставок</t>
  </si>
  <si>
    <t>1. Человек
2. Единица</t>
  </si>
  <si>
    <t>1. 10737                                   2. 49</t>
  </si>
  <si>
    <t>Организация и проведение мероприятий</t>
  </si>
  <si>
    <t xml:space="preserve">1. Количество проведенных мероприятий 
2. Количество участников мероприятий 
3. Количество проведенных мероприятий
4. Количество проведенных мероприятий  </t>
  </si>
  <si>
    <t>1. Человеко-день
2. Человек
3. Час
4. Единица</t>
  </si>
  <si>
    <t>Управление физической культуры и спорта Администрации городского округа город Салават Республики Башкортостан</t>
  </si>
  <si>
    <t xml:space="preserve"> Число лиц, прошедших спортивную подготовку на этапах спортивной подготовки</t>
  </si>
  <si>
    <t>Человек</t>
  </si>
  <si>
    <t>Комитет по делам молодежи Администрации городского округа город Салават Республики Башкортостан</t>
  </si>
  <si>
    <t>Количество мероприятий</t>
  </si>
  <si>
    <t xml:space="preserve">Количество кружков и секций </t>
  </si>
  <si>
    <t>Управление образования Администрации городского округа город Салават Республики Башкортостан</t>
  </si>
  <si>
    <t xml:space="preserve">1.Число обучающихся  
2.Число человеко-дней обучения </t>
  </si>
  <si>
    <t>1. Человек
2.Человеко-день</t>
  </si>
  <si>
    <t>1. 8089    
2. 1211176</t>
  </si>
  <si>
    <t>0701/42090</t>
  </si>
  <si>
    <t xml:space="preserve">Число обучающихся  </t>
  </si>
  <si>
    <t>0702/42190</t>
  </si>
  <si>
    <t>0703/42390</t>
  </si>
  <si>
    <t>Организация отдыха детей и молодежи</t>
  </si>
  <si>
    <t xml:space="preserve">1.Число человеко-часов пребывания  
2.Количество человек 
3.Число человеко-дней пребывания  </t>
  </si>
  <si>
    <t>1.Человеко-час
2.Человек
3.Человеко-день</t>
  </si>
  <si>
    <t>1. 14 123 499,5                    2. 3 422                                3. 2 824699,9</t>
  </si>
  <si>
    <t>0707</t>
  </si>
  <si>
    <t>Дополнительное образование детей и взрослых</t>
  </si>
  <si>
    <t>0705
0709</t>
  </si>
  <si>
    <t>Методическая, психолого-педагогическая, диагностическая и консультативная помощь</t>
  </si>
  <si>
    <t>1.150                                             2.36 600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</si>
  <si>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</si>
  <si>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Число обучающихся, их родителей (законных представителей) и педагогических работников</t>
  </si>
  <si>
    <t>1. 585                            
2. 213587                                          3. 2638                                               4. 2538</t>
  </si>
  <si>
    <t>Исполнение плановых показателей БУ/АУ по расходам</t>
  </si>
  <si>
    <t>по состоянию на 01 января 2022 г.</t>
  </si>
  <si>
    <t>Единица измерения: руб.</t>
  </si>
  <si>
    <t>Л/с</t>
  </si>
  <si>
    <t>ЦСР</t>
  </si>
  <si>
    <t xml:space="preserve">план ПФХД </t>
  </si>
  <si>
    <t>30022000000</t>
  </si>
  <si>
    <t>9900045990</t>
  </si>
  <si>
    <t>Итого по учреждению: МАУ ТК "САЛАВАТ" Г.САЛАВАТ</t>
  </si>
  <si>
    <t>Итого по распорядителю: АДМИНИСТРАЦИЯ ГОРОДСКОГО ОКРУГА ГОРОД САЛАВАТ РЕСПУБЛИКИ БАШКОРТОСТАН</t>
  </si>
  <si>
    <t>20070200000</t>
  </si>
  <si>
    <t>0910221950</t>
  </si>
  <si>
    <t>0910243190</t>
  </si>
  <si>
    <t>Итого по учреждению: МБУ МЦ "РОВЕСНИК" Г.САЛАВАТА</t>
  </si>
  <si>
    <t>20070300000</t>
  </si>
  <si>
    <t>0910121950</t>
  </si>
  <si>
    <t>0910143190</t>
  </si>
  <si>
    <t>Итого по учреждению: МБУ ЦСПП "ДОВЕРИЕ" Г.САЛАВАТА</t>
  </si>
  <si>
    <t>Итого по распорядителю: КОМИТЕТ ПО ДЕЛАМ МОЛОДЕЖИ АДМИНИСТРАЦИИ ГОРОДСКОГО ОКРУГА ГОРОД САЛАВАТ РЕСПУБЛИКИ БАШКОРТОСТАН</t>
  </si>
  <si>
    <t>20050500000</t>
  </si>
  <si>
    <t>1060121950</t>
  </si>
  <si>
    <t>1060144290</t>
  </si>
  <si>
    <t>10601S2040</t>
  </si>
  <si>
    <t>Итого по учреждению: МБУ "ЦБС" Г.САЛАВАТА</t>
  </si>
  <si>
    <t>20050200000</t>
  </si>
  <si>
    <t>1030121950</t>
  </si>
  <si>
    <t>1030142390</t>
  </si>
  <si>
    <t>10301S2050</t>
  </si>
  <si>
    <t>Итого по учреждению: МБУ ДО "ДМШ" ГО Г.САЛАВАТ РБ</t>
  </si>
  <si>
    <t>20050300000</t>
  </si>
  <si>
    <t>Итого по учреждению: МБУ ДО "ДХШ" ГО Г. САЛАВАТ РБ</t>
  </si>
  <si>
    <t>20050400000</t>
  </si>
  <si>
    <t>1010145870</t>
  </si>
  <si>
    <t>1050144190</t>
  </si>
  <si>
    <t>10501S2040</t>
  </si>
  <si>
    <t>10Л0145870</t>
  </si>
  <si>
    <t>1110145870</t>
  </si>
  <si>
    <t>2010145870</t>
  </si>
  <si>
    <t>2020145870</t>
  </si>
  <si>
    <t>Итого по учреждению: МБУ К И И "НАСЛЕДИЕ" Г. САЛАВАТА</t>
  </si>
  <si>
    <t>Итого по распорядителю: ОТДЕЛ КУЛЬТУРЫ АДМИНИСТРАЦИИ ГОРОДСКОГО ОКРУГА ГОРОД САЛАВАТ РЕСПУБЛИКИ БАШКОРТОСТАН</t>
  </si>
  <si>
    <t>20031200000</t>
  </si>
  <si>
    <t>0720206290</t>
  </si>
  <si>
    <t>Итого по учреждению: МБУ "РИТУАЛ САЛАВАТ"</t>
  </si>
  <si>
    <t>20031300000</t>
  </si>
  <si>
    <t>0720106290</t>
  </si>
  <si>
    <t>0720121950</t>
  </si>
  <si>
    <t>Итого по учреждению: МБУ "ФЛОРА" Г.САЛАВАТА РБ</t>
  </si>
  <si>
    <t>Итого по распорядителю: УПРАВЛЕНИЕ ГОРОДСКОГО ХОЗЯЙСТВА АДМИНИСТРАЦИИ ГОРОДСКОГО ОКРУГА ГОРОД САЛАВАТ РЕСПУБЛИКИ БАШКОРТОСТАН</t>
  </si>
  <si>
    <t>20091000000</t>
  </si>
  <si>
    <t>0220224300</t>
  </si>
  <si>
    <t>Итого по учреждению: МБУ "МУНИЦИПАЛЬНАЯ ПОЖАРНАЯ ОХРАНА" Г. САЛАВАТА</t>
  </si>
  <si>
    <t>Итого по распорядителю: 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</si>
  <si>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30060500000</t>
  </si>
  <si>
    <t>1310248300</t>
  </si>
  <si>
    <t>131P5М2900</t>
  </si>
  <si>
    <t>Итого по учреждению: МАУ СШ "АЛМАЗ" Г.САЛАВАТА</t>
  </si>
  <si>
    <t>30060400000</t>
  </si>
  <si>
    <t>Итого по учреждению: МАУ СШ "САЛАВАТ" Г. САЛАВАТА</t>
  </si>
  <si>
    <t>30060300000</t>
  </si>
  <si>
    <t>Итого по учреждению: МАУ СШ "СПИДВЕЙ" Г. САЛАВАТА</t>
  </si>
  <si>
    <t>20060200000</t>
  </si>
  <si>
    <t>1310221950</t>
  </si>
  <si>
    <t>Итого по учреждению: МБУ СШ "ТРИУМФ" Г. САЛАВАТА</t>
  </si>
  <si>
    <t>20060600000</t>
  </si>
  <si>
    <t>Итого по учреждению: МБУ СШ Г.САЛАВАТА</t>
  </si>
  <si>
    <t>Итого по распорядителю: УПРАВЛЕНИЕ ФИЗИЧЕСКОЙ КУЛЬТУРЫ И СПОРТА АДМИНИСТРАЦИИ ГОРОДСКОГО ОКРУГА ГОРОД САЛАВАТ РЕСПУБЛИКИ БАШКОРТОСТАН</t>
  </si>
  <si>
    <t>20080200000</t>
  </si>
  <si>
    <t>0701</t>
  </si>
  <si>
    <t>20083800000</t>
  </si>
  <si>
    <t>0702</t>
  </si>
  <si>
    <t>20085900000</t>
  </si>
  <si>
    <t>0703</t>
  </si>
  <si>
    <t>20086500000</t>
  </si>
  <si>
    <t>0705</t>
  </si>
  <si>
    <t>30086910000</t>
  </si>
  <si>
    <t>0709</t>
  </si>
  <si>
    <t>Итого по распорядителю: УПРАВЛЕНИЕ ОБРАЗОВАНИЯ АДМИНИСТРАЦИИ ГОРОДСКОГО ОКРУГА ГОРОД САЛАВАТ РЕСПУБЛИКИ БАШКОРТОСТАН</t>
  </si>
  <si>
    <t>Итого</t>
  </si>
  <si>
    <t>Утвержденное значение субсидии на выполнение МЗ 
на начало года (15 гр.)</t>
  </si>
  <si>
    <t>Уточненное значение субсидии на выполнение МЗ 
(последняя уточненная редакция) (16 гр.)</t>
  </si>
  <si>
    <t>Фактический объем субсидии на выполнение МЗ, доведенный до учрежде-ния(ий)  (20 гр.)</t>
  </si>
  <si>
    <t>Кассовый расход субсидии на выполнение МЗ учрежде-нием(ями) (21 гр.)</t>
  </si>
  <si>
    <t>Остаток средств субсидии
 на выполнение МЗ, тыс. руб. (30 гр.)</t>
  </si>
  <si>
    <t>Стоимостные показатели, руб.</t>
  </si>
  <si>
    <t xml:space="preserve">Остаток средств субсидии
 на выполнение МЗ, руб. </t>
  </si>
  <si>
    <t>Информация о выполнении муниципальных заданий за 2021 год по Администрации городского округа город Салават Республики Башкортостан</t>
  </si>
  <si>
    <t>Информация о выполнении муниципальных заданий за 2021 год по Управлению по делам гражданской обороны и чрезвычайным ситуациям Администрации городского округа город Салават Республики Башкортостан</t>
  </si>
  <si>
    <t>Информация о выполнении муниципальных заданий за 2021 год по Управлению городского хозяйства Администрации городского округа город Салават Республики Башкортостан</t>
  </si>
  <si>
    <t>Информация о выполнении муниципальных заданий за 2021 год по Отделу культуры Администрации городского округа город Салават Республики Башкортостан</t>
  </si>
  <si>
    <t>Информация о выполнении муниципальных заданий за 2021 год по Управлению физической культуры и спорта Администрации городского округа город Салават Республики Башкортостан</t>
  </si>
  <si>
    <t>Информация о выполнении муниципальных заданий за 2021 год по Комитету по делам молодежи Администрации городского округа город Салават Республики Башкортостан</t>
  </si>
  <si>
    <t>Информация о выполнении муниципальных заданий за 2021 год по Управлению образования Администрации городского округа город Салават Республики Башкортостан</t>
  </si>
  <si>
    <t>Штука</t>
  </si>
  <si>
    <t>Метр</t>
  </si>
  <si>
    <t>Человеко-день</t>
  </si>
  <si>
    <t>Час</t>
  </si>
  <si>
    <t xml:space="preserve"> Человек</t>
  </si>
  <si>
    <t>"21" февраля 2022г.</t>
  </si>
  <si>
    <t>Снижение количества погибших от пожаров, чел.</t>
  </si>
  <si>
    <t>Снижение количества пострадавших от пожаров, чел.</t>
  </si>
  <si>
    <t>Снижение количества зарегистрированных пожаров, ед.</t>
  </si>
  <si>
    <t>бесплатная</t>
  </si>
  <si>
    <t>Доля детей, подростков, молодежи, охваченных  социально - психологической помощью в общем числе молодежи</t>
  </si>
  <si>
    <t>Доля молодёжи, принимающая участие в мероприятиях, в числе общего количества молодёжи</t>
  </si>
  <si>
    <t>Нормативные затраты на оказание муниципальной услуги 
(выполнение работы) или цены (тарифы), руб.</t>
  </si>
  <si>
    <t>Целевой индикатор (показатель), закрепленный за ГРБС, для достижения которого оказывается муниципальная услуга (выполняется работа)</t>
  </si>
  <si>
    <t>плановое значение на год</t>
  </si>
  <si>
    <t>фактическое значение по итогам года</t>
  </si>
  <si>
    <t>Доля обоснованных жалоб на качество оказанных услуг по содержанию и уборке территории парков и скверов</t>
  </si>
  <si>
    <t xml:space="preserve">Качество оказанных услуг, доля своевременно устраненных учреждением нарушений, выявленных в результате проверок органами местного самоуправления городского округа город Салават Республики Башкортостан, осуществляющими функции по контролю и надзору в сфере жилищно-коммунального хозяйства </t>
  </si>
  <si>
    <t>Число лиц,прошедших спортивную подготовку на этапе спортивной подготовки</t>
  </si>
  <si>
    <t>Доля детей, ставших победителями и призерами всероссийских и международных мероприятий</t>
  </si>
  <si>
    <t>Доля детей, осваивающих дополнительные образовательные программы в образовательном учреждении</t>
  </si>
  <si>
    <t>Посещаемость библиотек, посещение на 1 жителя в год</t>
  </si>
  <si>
    <t>Посещаемость музейных учреждений на 1 жителя в год</t>
  </si>
  <si>
    <t>Увеличение численности участников культурно-досуговых мероприятий за счет интернет-пользователей</t>
  </si>
  <si>
    <t>частично платная</t>
  </si>
  <si>
    <t>Присмотр и уход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</si>
</sst>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 ₽&quot;_-;\-* #,##0.00&quot; ₽&quot;_-;_-* \-??&quot; ₽&quot;_-;_-@_-"/>
    <numFmt numFmtId="165" formatCode="_-* #,##0.00\ _₽_-;\-* #,##0.00\ _₽_-;_-* \-??\ _₽_-;_-@_-"/>
    <numFmt numFmtId="166" formatCode="_-* #,##0.00_р_._-;\-* #,##0.00_р_._-;_-* \-??_р_._-;_-@_-"/>
    <numFmt numFmtId="167" formatCode="#,##0.0"/>
    <numFmt numFmtId="168" formatCode="0.0"/>
    <numFmt numFmtId="169" formatCode="#,##0.00;[Red]\-#,##0.00"/>
    <numFmt numFmtId="170" formatCode="#,##0\ _₽"/>
  </numFmts>
  <fonts count="2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9C0006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7CE"/>
        <bgColor rgb="FFD9DEE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3">
    <xf numFmtId="0" fontId="0" fillId="0" borderId="0"/>
    <xf numFmtId="165" fontId="13" fillId="0" borderId="0" applyBorder="0" applyProtection="0"/>
    <xf numFmtId="164" fontId="13" fillId="0" borderId="0" applyBorder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4" fillId="0" borderId="0"/>
    <xf numFmtId="0" fontId="13" fillId="0" borderId="0"/>
    <xf numFmtId="0" fontId="2" fillId="0" borderId="0"/>
    <xf numFmtId="0" fontId="2" fillId="0" borderId="0"/>
    <xf numFmtId="165" fontId="13" fillId="0" borderId="0" applyBorder="0" applyProtection="0"/>
    <xf numFmtId="165" fontId="13" fillId="0" borderId="0" applyBorder="0" applyProtection="0"/>
    <xf numFmtId="166" fontId="13" fillId="0" borderId="0" applyBorder="0" applyProtection="0"/>
    <xf numFmtId="166" fontId="13" fillId="0" borderId="0" applyBorder="0" applyProtection="0"/>
    <xf numFmtId="0" fontId="12" fillId="2" borderId="0" applyBorder="0" applyProtection="0"/>
    <xf numFmtId="0" fontId="1" fillId="0" borderId="0"/>
    <xf numFmtId="0" fontId="13" fillId="0" borderId="0"/>
  </cellStyleXfs>
  <cellXfs count="305">
    <xf numFmtId="0" fontId="0" fillId="0" borderId="0" xfId="0"/>
    <xf numFmtId="0" fontId="5" fillId="0" borderId="0" xfId="0" applyFont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 wrapText="1"/>
    </xf>
    <xf numFmtId="9" fontId="9" fillId="0" borderId="3" xfId="3" applyNumberFormat="1" applyFont="1" applyBorder="1" applyAlignment="1">
      <alignment horizontal="center" vertical="center" wrapText="1"/>
    </xf>
    <xf numFmtId="9" fontId="9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4" fontId="9" fillId="4" borderId="3" xfId="12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NumberFormat="1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/>
    </xf>
    <xf numFmtId="167" fontId="9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/>
    </xf>
    <xf numFmtId="167" fontId="16" fillId="4" borderId="1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167" fontId="16" fillId="4" borderId="1" xfId="1" applyNumberFormat="1" applyFont="1" applyFill="1" applyBorder="1" applyAlignment="1">
      <alignment horizontal="center" vertical="center"/>
    </xf>
    <xf numFmtId="165" fontId="16" fillId="4" borderId="1" xfId="1" applyFont="1" applyFill="1" applyBorder="1" applyAlignment="1">
      <alignment horizontal="center" vertical="center"/>
    </xf>
    <xf numFmtId="4" fontId="7" fillId="4" borderId="1" xfId="12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" fontId="16" fillId="4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/>
    <xf numFmtId="0" fontId="10" fillId="0" borderId="0" xfId="0" applyFont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 wrapText="1"/>
    </xf>
    <xf numFmtId="168" fontId="14" fillId="4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20" fillId="0" borderId="5" xfId="0" applyNumberFormat="1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1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top" wrapText="1"/>
    </xf>
    <xf numFmtId="167" fontId="14" fillId="4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4" fontId="15" fillId="0" borderId="0" xfId="0" applyNumberFormat="1" applyFont="1" applyAlignment="1">
      <alignment horizontal="center" vertical="center" wrapText="1"/>
    </xf>
    <xf numFmtId="167" fontId="15" fillId="0" borderId="0" xfId="0" applyNumberFormat="1" applyFont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4" applyNumberFormat="1" applyFont="1" applyFill="1" applyBorder="1" applyAlignment="1" applyProtection="1">
      <alignment horizontal="center" vertical="center" wrapText="1"/>
      <protection hidden="1"/>
    </xf>
    <xf numFmtId="3" fontId="17" fillId="0" borderId="1" xfId="4" applyNumberFormat="1" applyFont="1" applyFill="1" applyBorder="1" applyAlignment="1" applyProtection="1">
      <alignment horizontal="center" vertical="center" wrapText="1"/>
      <protection hidden="1"/>
    </xf>
    <xf numFmtId="169" fontId="17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7" fillId="4" borderId="1" xfId="4" applyNumberFormat="1" applyFont="1" applyFill="1" applyBorder="1" applyAlignment="1" applyProtection="1">
      <alignment horizontal="center" vertical="center" wrapText="1"/>
      <protection hidden="1"/>
    </xf>
    <xf numFmtId="4" fontId="22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17" fillId="4" borderId="1" xfId="0" applyNumberFormat="1" applyFont="1" applyFill="1" applyBorder="1" applyAlignment="1">
      <alignment vertical="center" wrapText="1"/>
    </xf>
    <xf numFmtId="0" fontId="17" fillId="0" borderId="1" xfId="4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170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center" wrapText="1"/>
    </xf>
    <xf numFmtId="4" fontId="22" fillId="4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 wrapText="1"/>
    </xf>
    <xf numFmtId="170" fontId="15" fillId="4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7" fillId="4" borderId="1" xfId="0" applyNumberFormat="1" applyFont="1" applyFill="1" applyBorder="1" applyAlignment="1">
      <alignment horizontal="left" vertical="center" wrapText="1"/>
    </xf>
    <xf numFmtId="4" fontId="17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" fontId="17" fillId="4" borderId="1" xfId="21" applyNumberFormat="1" applyFont="1" applyFill="1" applyBorder="1" applyAlignment="1">
      <alignment horizontal="center" vertical="center" wrapText="1" shrinkToFit="1"/>
    </xf>
    <xf numFmtId="3" fontId="17" fillId="4" borderId="1" xfId="4" applyNumberFormat="1" applyFont="1" applyFill="1" applyBorder="1" applyAlignment="1" applyProtection="1">
      <alignment horizontal="center" vertical="center" wrapText="1"/>
      <protection hidden="1"/>
    </xf>
    <xf numFmtId="0" fontId="15" fillId="4" borderId="1" xfId="0" applyFont="1" applyFill="1" applyBorder="1" applyAlignment="1">
      <alignment vertical="center" wrapText="1"/>
    </xf>
    <xf numFmtId="43" fontId="15" fillId="4" borderId="0" xfId="0" applyNumberFormat="1" applyFont="1" applyFill="1" applyAlignment="1">
      <alignment vertical="center" wrapText="1"/>
    </xf>
    <xf numFmtId="0" fontId="15" fillId="4" borderId="1" xfId="15" applyFont="1" applyFill="1" applyBorder="1" applyAlignment="1">
      <alignment horizontal="center" vertical="center" wrapText="1"/>
    </xf>
    <xf numFmtId="170" fontId="17" fillId="4" borderId="1" xfId="4" applyNumberFormat="1" applyFont="1" applyFill="1" applyBorder="1" applyAlignment="1" applyProtection="1">
      <alignment horizontal="center" vertical="center" wrapText="1"/>
      <protection hidden="1"/>
    </xf>
    <xf numFmtId="4" fontId="17" fillId="4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center" wrapText="1"/>
    </xf>
    <xf numFmtId="0" fontId="17" fillId="4" borderId="1" xfId="22" applyNumberFormat="1" applyFont="1" applyFill="1" applyBorder="1" applyAlignment="1">
      <alignment horizontal="left" vertical="center" wrapText="1"/>
    </xf>
    <xf numFmtId="167" fontId="17" fillId="4" borderId="1" xfId="4" applyNumberFormat="1" applyFont="1" applyFill="1" applyBorder="1" applyAlignment="1" applyProtection="1">
      <alignment horizontal="center" vertical="center" wrapText="1"/>
      <protection hidden="1"/>
    </xf>
    <xf numFmtId="0" fontId="15" fillId="4" borderId="1" xfId="22" applyFont="1" applyFill="1" applyBorder="1" applyAlignment="1">
      <alignment horizontal="center" vertical="center" wrapText="1"/>
    </xf>
    <xf numFmtId="4" fontId="15" fillId="4" borderId="1" xfId="22" applyNumberFormat="1" applyFont="1" applyFill="1" applyBorder="1" applyAlignment="1">
      <alignment horizontal="center" vertical="center" wrapText="1"/>
    </xf>
    <xf numFmtId="0" fontId="15" fillId="0" borderId="1" xfId="22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vertical="center" wrapText="1"/>
    </xf>
    <xf numFmtId="0" fontId="15" fillId="0" borderId="1" xfId="22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7" fontId="15" fillId="0" borderId="0" xfId="0" applyNumberFormat="1" applyFont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0" fontId="23" fillId="0" borderId="0" xfId="0" applyFont="1" applyBorder="1" applyAlignment="1"/>
    <xf numFmtId="0" fontId="23" fillId="0" borderId="0" xfId="0" applyFont="1"/>
    <xf numFmtId="0" fontId="24" fillId="0" borderId="0" xfId="0" applyNumberFormat="1" applyFont="1" applyBorder="1" applyAlignment="1">
      <alignment horizontal="center"/>
    </xf>
    <xf numFmtId="0" fontId="25" fillId="0" borderId="1" xfId="3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6" borderId="0" xfId="0" applyFont="1" applyFill="1"/>
    <xf numFmtId="0" fontId="23" fillId="7" borderId="0" xfId="0" applyFont="1" applyFill="1"/>
    <xf numFmtId="0" fontId="2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/>
    </xf>
    <xf numFmtId="4" fontId="24" fillId="6" borderId="1" xfId="0" applyNumberFormat="1" applyFont="1" applyFill="1" applyBorder="1" applyAlignment="1">
      <alignment horizontal="center" vertical="center" wrapText="1"/>
    </xf>
    <xf numFmtId="4" fontId="24" fillId="6" borderId="1" xfId="0" applyNumberFormat="1" applyFont="1" applyFill="1" applyBorder="1" applyAlignment="1">
      <alignment horizontal="center" vertical="center"/>
    </xf>
    <xf numFmtId="4" fontId="24" fillId="7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4" fontId="7" fillId="3" borderId="3" xfId="12" applyNumberFormat="1" applyFont="1" applyFill="1" applyBorder="1" applyAlignment="1" applyProtection="1">
      <alignment horizontal="center" vertical="center" wrapText="1"/>
      <protection locked="0"/>
    </xf>
    <xf numFmtId="4" fontId="16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  <protection hidden="1"/>
    </xf>
    <xf numFmtId="1" fontId="10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9" fillId="0" borderId="0" xfId="0" applyFont="1"/>
    <xf numFmtId="0" fontId="19" fillId="0" borderId="0" xfId="0" applyFont="1"/>
    <xf numFmtId="1" fontId="10" fillId="0" borderId="0" xfId="0" applyNumberFormat="1" applyFont="1" applyAlignment="1">
      <alignment horizontal="center"/>
    </xf>
    <xf numFmtId="1" fontId="10" fillId="0" borderId="0" xfId="0" applyNumberFormat="1" applyFont="1"/>
    <xf numFmtId="0" fontId="16" fillId="0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9" fillId="4" borderId="1" xfId="22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2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4" fontId="7" fillId="4" borderId="1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 wrapText="1"/>
    </xf>
    <xf numFmtId="4" fontId="14" fillId="4" borderId="1" xfId="1" applyNumberFormat="1" applyFont="1" applyFill="1" applyBorder="1" applyAlignment="1">
      <alignment horizontal="center" vertical="center" shrinkToFit="1"/>
    </xf>
    <xf numFmtId="4" fontId="14" fillId="4" borderId="1" xfId="0" applyNumberFormat="1" applyFont="1" applyFill="1" applyBorder="1" applyAlignment="1">
      <alignment horizontal="center" vertical="center" shrinkToFit="1"/>
    </xf>
    <xf numFmtId="4" fontId="16" fillId="4" borderId="1" xfId="0" applyNumberFormat="1" applyFont="1" applyFill="1" applyBorder="1" applyAlignment="1">
      <alignment horizontal="center" vertical="center" shrinkToFit="1"/>
    </xf>
    <xf numFmtId="4" fontId="16" fillId="4" borderId="1" xfId="1" applyNumberFormat="1" applyFont="1" applyFill="1" applyBorder="1" applyAlignment="1">
      <alignment horizontal="center" vertical="center" shrinkToFit="1"/>
    </xf>
    <xf numFmtId="4" fontId="14" fillId="0" borderId="2" xfId="0" applyNumberFormat="1" applyFont="1" applyFill="1" applyBorder="1" applyAlignment="1">
      <alignment horizontal="center" vertical="center" shrinkToFit="1"/>
    </xf>
    <xf numFmtId="4" fontId="10" fillId="3" borderId="1" xfId="0" applyNumberFormat="1" applyFont="1" applyFill="1" applyBorder="1" applyAlignment="1">
      <alignment horizontal="center" vertical="center" shrinkToFit="1"/>
    </xf>
    <xf numFmtId="4" fontId="9" fillId="4" borderId="1" xfId="0" applyNumberFormat="1" applyFont="1" applyFill="1" applyBorder="1" applyAlignment="1">
      <alignment horizontal="center" vertical="center" shrinkToFit="1"/>
    </xf>
    <xf numFmtId="4" fontId="7" fillId="4" borderId="1" xfId="0" applyNumberFormat="1" applyFont="1" applyFill="1" applyBorder="1" applyAlignment="1">
      <alignment horizontal="center" vertical="center" shrinkToFit="1"/>
    </xf>
    <xf numFmtId="2" fontId="9" fillId="4" borderId="1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shrinkToFit="1"/>
    </xf>
    <xf numFmtId="4" fontId="9" fillId="4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shrinkToFit="1"/>
    </xf>
    <xf numFmtId="0" fontId="9" fillId="4" borderId="2" xfId="3" applyFont="1" applyFill="1" applyBorder="1" applyAlignment="1">
      <alignment horizontal="center" vertical="center" wrapText="1"/>
    </xf>
    <xf numFmtId="4" fontId="23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167" fontId="9" fillId="4" borderId="2" xfId="0" applyNumberFormat="1" applyFont="1" applyFill="1" applyBorder="1" applyAlignment="1">
      <alignment horizontal="center" vertical="center" wrapText="1"/>
    </xf>
    <xf numFmtId="167" fontId="9" fillId="4" borderId="6" xfId="0" applyNumberFormat="1" applyFont="1" applyFill="1" applyBorder="1" applyAlignment="1">
      <alignment horizontal="center" vertical="center" wrapText="1"/>
    </xf>
    <xf numFmtId="167" fontId="9" fillId="4" borderId="3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/>
    </xf>
    <xf numFmtId="4" fontId="10" fillId="3" borderId="6" xfId="0" applyNumberFormat="1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4" fontId="14" fillId="4" borderId="2" xfId="1" applyNumberFormat="1" applyFont="1" applyFill="1" applyBorder="1" applyAlignment="1">
      <alignment horizontal="center" vertical="center"/>
    </xf>
    <xf numFmtId="4" fontId="14" fillId="4" borderId="6" xfId="1" applyNumberFormat="1" applyFont="1" applyFill="1" applyBorder="1" applyAlignment="1">
      <alignment horizontal="center" vertical="center"/>
    </xf>
    <xf numFmtId="4" fontId="14" fillId="4" borderId="3" xfId="1" applyNumberFormat="1" applyFont="1" applyFill="1" applyBorder="1" applyAlignment="1">
      <alignment horizontal="center" vertical="center"/>
    </xf>
    <xf numFmtId="4" fontId="14" fillId="4" borderId="2" xfId="0" applyNumberFormat="1" applyFont="1" applyFill="1" applyBorder="1" applyAlignment="1">
      <alignment horizontal="center" vertical="center"/>
    </xf>
    <xf numFmtId="4" fontId="14" fillId="4" borderId="6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2" fontId="14" fillId="4" borderId="2" xfId="0" applyNumberFormat="1" applyFont="1" applyFill="1" applyBorder="1" applyAlignment="1">
      <alignment horizontal="center" vertical="center"/>
    </xf>
    <xf numFmtId="2" fontId="14" fillId="4" borderId="6" xfId="0" applyNumberFormat="1" applyFont="1" applyFill="1" applyBorder="1" applyAlignment="1">
      <alignment horizontal="center" vertical="center"/>
    </xf>
    <xf numFmtId="2" fontId="14" fillId="4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shrinkToFit="1"/>
    </xf>
    <xf numFmtId="4" fontId="9" fillId="4" borderId="6" xfId="0" applyNumberFormat="1" applyFont="1" applyFill="1" applyBorder="1" applyAlignment="1">
      <alignment horizontal="center" vertical="center" shrinkToFit="1"/>
    </xf>
    <xf numFmtId="4" fontId="9" fillId="4" borderId="3" xfId="0" applyNumberFormat="1" applyFont="1" applyFill="1" applyBorder="1" applyAlignment="1">
      <alignment horizontal="center" vertical="center" shrinkToFit="1"/>
    </xf>
    <xf numFmtId="0" fontId="14" fillId="4" borderId="2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" fontId="14" fillId="4" borderId="2" xfId="0" applyNumberFormat="1" applyFont="1" applyFill="1" applyBorder="1" applyAlignment="1">
      <alignment horizontal="center" vertical="center" shrinkToFit="1"/>
    </xf>
    <xf numFmtId="4" fontId="14" fillId="4" borderId="6" xfId="0" applyNumberFormat="1" applyFont="1" applyFill="1" applyBorder="1" applyAlignment="1">
      <alignment horizontal="center" vertical="center" shrinkToFit="1"/>
    </xf>
    <xf numFmtId="4" fontId="14" fillId="4" borderId="3" xfId="0" applyNumberFormat="1" applyFont="1" applyFill="1" applyBorder="1" applyAlignment="1">
      <alignment horizontal="center" vertical="center" shrinkToFit="1"/>
    </xf>
    <xf numFmtId="4" fontId="14" fillId="4" borderId="2" xfId="1" applyNumberFormat="1" applyFont="1" applyFill="1" applyBorder="1" applyAlignment="1">
      <alignment horizontal="center" vertical="center" shrinkToFit="1"/>
    </xf>
    <xf numFmtId="4" fontId="14" fillId="4" borderId="6" xfId="1" applyNumberFormat="1" applyFont="1" applyFill="1" applyBorder="1" applyAlignment="1">
      <alignment horizontal="center" vertical="center" shrinkToFit="1"/>
    </xf>
    <xf numFmtId="4" fontId="14" fillId="4" borderId="3" xfId="1" applyNumberFormat="1" applyFont="1" applyFill="1" applyBorder="1" applyAlignment="1">
      <alignment horizontal="center" vertical="center" shrinkToFit="1"/>
    </xf>
    <xf numFmtId="4" fontId="10" fillId="3" borderId="2" xfId="0" applyNumberFormat="1" applyFont="1" applyFill="1" applyBorder="1" applyAlignment="1">
      <alignment horizontal="center" vertical="center" shrinkToFit="1"/>
    </xf>
    <xf numFmtId="4" fontId="10" fillId="3" borderId="6" xfId="0" applyNumberFormat="1" applyFont="1" applyFill="1" applyBorder="1" applyAlignment="1">
      <alignment horizontal="center" vertical="center" shrinkToFit="1"/>
    </xf>
    <xf numFmtId="4" fontId="10" fillId="3" borderId="3" xfId="0" applyNumberFormat="1" applyFont="1" applyFill="1" applyBorder="1" applyAlignment="1">
      <alignment horizontal="center" vertical="center" shrinkToFit="1"/>
    </xf>
    <xf numFmtId="4" fontId="14" fillId="4" borderId="2" xfId="0" applyNumberFormat="1" applyFont="1" applyFill="1" applyBorder="1" applyAlignment="1">
      <alignment horizontal="center" vertical="center" wrapText="1"/>
    </xf>
    <xf numFmtId="4" fontId="14" fillId="4" borderId="6" xfId="0" applyNumberFormat="1" applyFont="1" applyFill="1" applyBorder="1" applyAlignment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shrinkToFit="1"/>
    </xf>
    <xf numFmtId="4" fontId="14" fillId="0" borderId="6" xfId="0" applyNumberFormat="1" applyFont="1" applyFill="1" applyBorder="1" applyAlignment="1">
      <alignment horizontal="center" vertical="center" shrinkToFit="1"/>
    </xf>
    <xf numFmtId="4" fontId="14" fillId="0" borderId="3" xfId="0" applyNumberFormat="1" applyFont="1" applyFill="1" applyBorder="1" applyAlignment="1">
      <alignment horizontal="center" vertical="center" shrinkToFit="1"/>
    </xf>
    <xf numFmtId="4" fontId="14" fillId="0" borderId="8" xfId="0" applyNumberFormat="1" applyFont="1" applyFill="1" applyBorder="1" applyAlignment="1">
      <alignment horizontal="center" vertical="center" shrinkToFit="1"/>
    </xf>
    <xf numFmtId="4" fontId="14" fillId="0" borderId="9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left" vertical="center" wrapText="1"/>
    </xf>
    <xf numFmtId="0" fontId="9" fillId="4" borderId="3" xfId="0" applyNumberFormat="1" applyFont="1" applyFill="1" applyBorder="1" applyAlignment="1">
      <alignment horizontal="left" vertical="center" wrapText="1"/>
    </xf>
    <xf numFmtId="0" fontId="9" fillId="4" borderId="6" xfId="0" applyNumberFormat="1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center" vertical="center" shrinkToFit="1"/>
    </xf>
    <xf numFmtId="4" fontId="0" fillId="0" borderId="3" xfId="0" applyNumberFormat="1" applyBorder="1" applyAlignment="1">
      <alignment horizontal="center" vertical="center" shrinkToFit="1"/>
    </xf>
    <xf numFmtId="0" fontId="14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 wrapText="1"/>
    </xf>
    <xf numFmtId="0" fontId="9" fillId="4" borderId="2" xfId="22" applyNumberFormat="1" applyFont="1" applyFill="1" applyBorder="1" applyAlignment="1">
      <alignment horizontal="left" vertical="center" wrapText="1"/>
    </xf>
    <xf numFmtId="0" fontId="9" fillId="4" borderId="6" xfId="22" applyNumberFormat="1" applyFont="1" applyFill="1" applyBorder="1" applyAlignment="1">
      <alignment horizontal="left" vertical="center" wrapText="1"/>
    </xf>
    <xf numFmtId="0" fontId="9" fillId="4" borderId="3" xfId="22" applyNumberFormat="1" applyFont="1" applyFill="1" applyBorder="1" applyAlignment="1">
      <alignment horizontal="left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9" fillId="4" borderId="3" xfId="3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left" vertical="center" wrapText="1"/>
    </xf>
    <xf numFmtId="49" fontId="15" fillId="4" borderId="2" xfId="0" applyNumberFormat="1" applyFont="1" applyFill="1" applyBorder="1" applyAlignment="1">
      <alignment horizontal="left" vertical="center" wrapText="1"/>
    </xf>
    <xf numFmtId="49" fontId="15" fillId="4" borderId="6" xfId="0" applyNumberFormat="1" applyFont="1" applyFill="1" applyBorder="1" applyAlignment="1">
      <alignment horizontal="left" vertical="center" wrapText="1"/>
    </xf>
    <xf numFmtId="49" fontId="15" fillId="4" borderId="3" xfId="0" applyNumberFormat="1" applyFont="1" applyFill="1" applyBorder="1" applyAlignment="1">
      <alignment horizontal="left" vertical="center" wrapText="1"/>
    </xf>
    <xf numFmtId="0" fontId="24" fillId="6" borderId="1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left"/>
    </xf>
    <xf numFmtId="4" fontId="23" fillId="0" borderId="2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  <xf numFmtId="0" fontId="24" fillId="7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left" vertical="center"/>
    </xf>
    <xf numFmtId="4" fontId="23" fillId="0" borderId="6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 wrapText="1"/>
    </xf>
  </cellXfs>
  <cellStyles count="23">
    <cellStyle name="Excel Built-in Bad" xfId="20"/>
    <cellStyle name="Денежный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3" xfId="9"/>
    <cellStyle name="Обычный 3 2" xfId="10"/>
    <cellStyle name="Обычный 3 3" xfId="11"/>
    <cellStyle name="Обычный 4" xfId="12"/>
    <cellStyle name="Обычный 5" xfId="13"/>
    <cellStyle name="Обычный 6" xfId="14"/>
    <cellStyle name="Обычный 6 2 2 3" xfId="21"/>
    <cellStyle name="Обычный 7" xfId="15"/>
    <cellStyle name="Обычный 8 12" xfId="22"/>
    <cellStyle name="Финансовый" xfId="1" builtinId="3"/>
    <cellStyle name="Финансовый 2" xfId="16"/>
    <cellStyle name="Финансовый 2 2" xfId="17"/>
    <cellStyle name="Финансовый 2 3" xfId="18"/>
    <cellStyle name="Финансовый 3" xfId="19"/>
  </cellStyles>
  <dxfs count="0"/>
  <tableStyles count="0" defaultTableStyle="TableStyleMedium2" defaultPivotStyle="PivotStyleLight16"/>
  <colors>
    <indexedColors>
      <rgbColor rgb="FF000000"/>
      <rgbColor rgb="FFFFFFFF"/>
      <rgbColor rgb="FFEA157A"/>
      <rgbColor rgb="FF00FF00"/>
      <rgbColor rgb="FF0000FF"/>
      <rgbColor rgb="FFFFFF00"/>
      <rgbColor rgb="FFFF00FF"/>
      <rgbColor rgb="FF00FFFF"/>
      <rgbColor rgb="FF9C0006"/>
      <rgbColor rgb="FF3F6D19"/>
      <rgbColor rgb="FF000080"/>
      <rgbColor rgb="FF808000"/>
      <rgbColor rgb="FF800080"/>
      <rgbColor rgb="FF008080"/>
      <rgbColor rgb="FFC0C0C0"/>
      <rgbColor rgb="FF738AC8"/>
      <rgbColor rgb="FF9999FF"/>
      <rgbColor rgb="FF993366"/>
      <rgbColor rgb="FFFFFFCC"/>
      <rgbColor rgb="FFD6ECFF"/>
      <rgbColor rgb="FF660066"/>
      <rgbColor rgb="FFFF8080"/>
      <rgbColor rgb="FF0066CC"/>
      <rgbColor rgb="FFD9DE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DDC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7FD13B"/>
      <rgbColor rgb="FFFEB80A"/>
      <rgbColor rgb="FFFF9900"/>
      <rgbColor rgb="FFFF6600"/>
      <rgbColor rgb="FF4E5B6F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ECFF"/>
    <pageSetUpPr fitToPage="1"/>
  </sheetPr>
  <dimension ref="A1:AI22"/>
  <sheetViews>
    <sheetView view="pageBreakPreview" zoomScale="70" zoomScaleNormal="70" zoomScaleSheetLayoutView="70" zoomScalePage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3" sqref="C3:C6"/>
    </sheetView>
  </sheetViews>
  <sheetFormatPr defaultRowHeight="15" x14ac:dyDescent="0.25"/>
  <cols>
    <col min="1" max="1" width="13.7109375" style="1" customWidth="1"/>
    <col min="2" max="2" width="18.42578125" style="16" customWidth="1"/>
    <col min="3" max="3" width="15.85546875" style="16" customWidth="1"/>
    <col min="4" max="4" width="8.42578125" style="23" customWidth="1"/>
    <col min="5" max="5" width="10.5703125" style="17" customWidth="1"/>
    <col min="6" max="6" width="13.7109375" style="16" customWidth="1"/>
    <col min="7" max="7" width="11.7109375" style="16" customWidth="1"/>
    <col min="8" max="8" width="14.7109375" style="16" customWidth="1"/>
    <col min="9" max="10" width="11.85546875" style="16" customWidth="1"/>
    <col min="11" max="11" width="12.140625" style="16" customWidth="1"/>
    <col min="12" max="12" width="11.85546875" style="16" bestFit="1" customWidth="1"/>
    <col min="13" max="13" width="7.42578125" style="16" bestFit="1" customWidth="1"/>
    <col min="14" max="14" width="6.42578125" style="16" bestFit="1" customWidth="1"/>
    <col min="15" max="16" width="13.85546875" style="16" customWidth="1"/>
    <col min="17" max="17" width="14.5703125" style="16" customWidth="1"/>
    <col min="18" max="19" width="11.7109375" style="25" customWidth="1"/>
    <col min="20" max="21" width="12.7109375" style="16" customWidth="1"/>
    <col min="22" max="22" width="11.85546875" style="16" bestFit="1" customWidth="1"/>
    <col min="23" max="23" width="7.42578125" style="16" bestFit="1" customWidth="1"/>
    <col min="24" max="24" width="6.42578125" style="16" bestFit="1" customWidth="1"/>
    <col min="25" max="25" width="13.7109375" style="20" bestFit="1" customWidth="1"/>
    <col min="26" max="26" width="12.140625" style="20" bestFit="1" customWidth="1"/>
    <col min="27" max="27" width="15" style="16" customWidth="1"/>
    <col min="28" max="28" width="11.140625" style="16" bestFit="1" customWidth="1"/>
    <col min="29" max="29" width="11.7109375" style="16" bestFit="1" customWidth="1"/>
    <col min="30" max="30" width="13.28515625" style="16" customWidth="1"/>
    <col min="31" max="31" width="13.28515625" style="16" hidden="1" customWidth="1"/>
    <col min="32" max="34" width="12.7109375" style="16" hidden="1" customWidth="1"/>
    <col min="35" max="35" width="11.85546875" style="16" hidden="1" customWidth="1"/>
    <col min="36" max="1025" width="8.85546875" style="16" customWidth="1"/>
    <col min="1026" max="16384" width="9.140625" style="16"/>
  </cols>
  <sheetData>
    <row r="1" spans="1:35" s="62" customFormat="1" ht="32.1" customHeight="1" x14ac:dyDescent="0.25">
      <c r="A1" s="200" t="s">
        <v>211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</row>
    <row r="2" spans="1:35" ht="20.25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5" ht="29.25" customHeight="1" x14ac:dyDescent="0.25">
      <c r="A3" s="201" t="s">
        <v>0</v>
      </c>
      <c r="B3" s="201" t="s">
        <v>1</v>
      </c>
      <c r="C3" s="201" t="s">
        <v>2</v>
      </c>
      <c r="D3" s="201" t="s">
        <v>3</v>
      </c>
      <c r="E3" s="201" t="s">
        <v>4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2" t="s">
        <v>230</v>
      </c>
      <c r="Z3" s="202"/>
      <c r="AA3" s="202"/>
      <c r="AB3" s="202"/>
      <c r="AC3" s="202"/>
      <c r="AD3" s="201" t="s">
        <v>210</v>
      </c>
      <c r="AE3" s="201" t="s">
        <v>5</v>
      </c>
      <c r="AF3" s="201" t="s">
        <v>231</v>
      </c>
      <c r="AG3" s="201"/>
      <c r="AH3" s="201"/>
      <c r="AI3" s="201"/>
    </row>
    <row r="4" spans="1:35" ht="17.649999999999999" customHeight="1" x14ac:dyDescent="0.25">
      <c r="A4" s="201"/>
      <c r="B4" s="201"/>
      <c r="C4" s="201"/>
      <c r="D4" s="201"/>
      <c r="E4" s="203" t="s">
        <v>6</v>
      </c>
      <c r="F4" s="203"/>
      <c r="G4" s="203"/>
      <c r="H4" s="203"/>
      <c r="I4" s="203"/>
      <c r="J4" s="203"/>
      <c r="K4" s="203"/>
      <c r="L4" s="203"/>
      <c r="M4" s="203"/>
      <c r="N4" s="203"/>
      <c r="O4" s="204" t="s">
        <v>209</v>
      </c>
      <c r="P4" s="204"/>
      <c r="Q4" s="204"/>
      <c r="R4" s="204"/>
      <c r="S4" s="204"/>
      <c r="T4" s="204"/>
      <c r="U4" s="204"/>
      <c r="V4" s="204"/>
      <c r="W4" s="204"/>
      <c r="X4" s="204"/>
      <c r="Y4" s="205" t="s">
        <v>7</v>
      </c>
      <c r="Z4" s="205" t="s">
        <v>8</v>
      </c>
      <c r="AA4" s="205" t="s">
        <v>9</v>
      </c>
      <c r="AB4" s="205" t="s">
        <v>10</v>
      </c>
      <c r="AC4" s="205"/>
      <c r="AD4" s="201"/>
      <c r="AE4" s="201"/>
      <c r="AF4" s="201"/>
      <c r="AG4" s="201"/>
      <c r="AH4" s="201"/>
      <c r="AI4" s="201"/>
    </row>
    <row r="5" spans="1:35" ht="108" customHeight="1" x14ac:dyDescent="0.25">
      <c r="A5" s="201"/>
      <c r="B5" s="201"/>
      <c r="C5" s="201"/>
      <c r="D5" s="201"/>
      <c r="E5" s="205" t="s">
        <v>11</v>
      </c>
      <c r="F5" s="205" t="s">
        <v>12</v>
      </c>
      <c r="G5" s="205" t="s">
        <v>13</v>
      </c>
      <c r="H5" s="205" t="s">
        <v>14</v>
      </c>
      <c r="I5" s="205" t="s">
        <v>15</v>
      </c>
      <c r="J5" s="205"/>
      <c r="K5" s="205" t="s">
        <v>16</v>
      </c>
      <c r="L5" s="205" t="s">
        <v>17</v>
      </c>
      <c r="M5" s="205" t="s">
        <v>18</v>
      </c>
      <c r="N5" s="205"/>
      <c r="O5" s="205" t="s">
        <v>19</v>
      </c>
      <c r="P5" s="205" t="s">
        <v>20</v>
      </c>
      <c r="Q5" s="205" t="s">
        <v>21</v>
      </c>
      <c r="R5" s="205" t="s">
        <v>22</v>
      </c>
      <c r="S5" s="205"/>
      <c r="T5" s="205" t="s">
        <v>56</v>
      </c>
      <c r="U5" s="205" t="s">
        <v>23</v>
      </c>
      <c r="V5" s="205" t="s">
        <v>24</v>
      </c>
      <c r="W5" s="205" t="s">
        <v>18</v>
      </c>
      <c r="X5" s="205"/>
      <c r="Y5" s="205"/>
      <c r="Z5" s="205"/>
      <c r="AA5" s="205"/>
      <c r="AB5" s="205"/>
      <c r="AC5" s="205"/>
      <c r="AD5" s="201"/>
      <c r="AE5" s="201"/>
      <c r="AF5" s="201"/>
      <c r="AG5" s="201"/>
      <c r="AH5" s="201"/>
      <c r="AI5" s="201"/>
    </row>
    <row r="6" spans="1:35" ht="91.5" customHeight="1" x14ac:dyDescent="0.25">
      <c r="A6" s="201"/>
      <c r="B6" s="201"/>
      <c r="C6" s="201"/>
      <c r="D6" s="201"/>
      <c r="E6" s="205"/>
      <c r="F6" s="205"/>
      <c r="G6" s="205"/>
      <c r="H6" s="205"/>
      <c r="I6" s="2" t="s">
        <v>25</v>
      </c>
      <c r="J6" s="3" t="s">
        <v>26</v>
      </c>
      <c r="K6" s="205"/>
      <c r="L6" s="205"/>
      <c r="M6" s="2" t="s">
        <v>27</v>
      </c>
      <c r="N6" s="3" t="s">
        <v>28</v>
      </c>
      <c r="O6" s="205"/>
      <c r="P6" s="205"/>
      <c r="Q6" s="205"/>
      <c r="R6" s="2" t="s">
        <v>29</v>
      </c>
      <c r="S6" s="3" t="s">
        <v>26</v>
      </c>
      <c r="T6" s="205"/>
      <c r="U6" s="205"/>
      <c r="V6" s="205"/>
      <c r="W6" s="2" t="s">
        <v>27</v>
      </c>
      <c r="X6" s="3" t="s">
        <v>28</v>
      </c>
      <c r="Y6" s="205"/>
      <c r="Z6" s="205"/>
      <c r="AA6" s="205"/>
      <c r="AB6" s="4" t="s">
        <v>25</v>
      </c>
      <c r="AC6" s="4" t="s">
        <v>26</v>
      </c>
      <c r="AD6" s="201"/>
      <c r="AE6" s="201"/>
      <c r="AF6" s="4" t="s">
        <v>30</v>
      </c>
      <c r="AG6" s="4" t="s">
        <v>232</v>
      </c>
      <c r="AH6" s="4" t="s">
        <v>233</v>
      </c>
      <c r="AI6" s="4" t="s">
        <v>31</v>
      </c>
    </row>
    <row r="7" spans="1:35" x14ac:dyDescent="0.25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 t="s">
        <v>32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  <c r="U7" s="68">
        <v>21</v>
      </c>
      <c r="V7" s="68">
        <v>22</v>
      </c>
      <c r="W7" s="68">
        <v>23</v>
      </c>
      <c r="X7" s="68">
        <v>24</v>
      </c>
      <c r="Y7" s="68">
        <v>25</v>
      </c>
      <c r="Z7" s="68">
        <v>26</v>
      </c>
      <c r="AA7" s="68">
        <v>27</v>
      </c>
      <c r="AB7" s="68">
        <v>28</v>
      </c>
      <c r="AC7" s="68">
        <v>29</v>
      </c>
      <c r="AD7" s="68">
        <v>30</v>
      </c>
      <c r="AE7" s="68">
        <v>31</v>
      </c>
      <c r="AF7" s="68">
        <v>32</v>
      </c>
      <c r="AG7" s="68">
        <v>33</v>
      </c>
      <c r="AH7" s="68">
        <v>34</v>
      </c>
      <c r="AI7" s="21">
        <v>35</v>
      </c>
    </row>
    <row r="8" spans="1:35" ht="43.5" customHeight="1" x14ac:dyDescent="0.25">
      <c r="A8" s="73">
        <v>706</v>
      </c>
      <c r="B8" s="57" t="s">
        <v>68</v>
      </c>
      <c r="C8" s="33" t="s">
        <v>242</v>
      </c>
      <c r="D8" s="34">
        <v>1</v>
      </c>
      <c r="E8" s="164" t="s">
        <v>70</v>
      </c>
      <c r="F8" s="36">
        <v>160</v>
      </c>
      <c r="G8" s="36">
        <v>160</v>
      </c>
      <c r="H8" s="12">
        <f>(G8-F8)/F8*100</f>
        <v>0</v>
      </c>
      <c r="I8" s="36">
        <v>0</v>
      </c>
      <c r="J8" s="36">
        <v>0</v>
      </c>
      <c r="K8" s="36">
        <v>160</v>
      </c>
      <c r="L8" s="39">
        <f>K8/G8*100</f>
        <v>100</v>
      </c>
      <c r="M8" s="36">
        <v>0</v>
      </c>
      <c r="N8" s="36">
        <v>0</v>
      </c>
      <c r="O8" s="182">
        <v>10672000</v>
      </c>
      <c r="P8" s="182">
        <v>10216100</v>
      </c>
      <c r="Q8" s="183">
        <f t="shared" ref="Q8" si="0">(P8-O8)/O8*100</f>
        <v>-4.2719265367316339</v>
      </c>
      <c r="R8" s="36">
        <v>0</v>
      </c>
      <c r="S8" s="36">
        <v>0</v>
      </c>
      <c r="T8" s="182">
        <v>10061460.970000001</v>
      </c>
      <c r="U8" s="182">
        <v>10061460.970000001</v>
      </c>
      <c r="V8" s="182">
        <f>T8/P8*100</f>
        <v>98.486320317929554</v>
      </c>
      <c r="W8" s="36"/>
      <c r="X8" s="36"/>
      <c r="Y8" s="191">
        <f>O8/F8</f>
        <v>66700</v>
      </c>
      <c r="Z8" s="191">
        <f>P8/G8</f>
        <v>63850.625</v>
      </c>
      <c r="AA8" s="187">
        <f>(Z8-Y8)/Y8*100</f>
        <v>-4.2719265367316339</v>
      </c>
      <c r="AB8" s="36">
        <v>0</v>
      </c>
      <c r="AC8" s="36">
        <v>0</v>
      </c>
      <c r="AD8" s="188">
        <f>T8-U8</f>
        <v>0</v>
      </c>
      <c r="AE8" s="40">
        <v>100</v>
      </c>
      <c r="AF8" s="36" t="s">
        <v>70</v>
      </c>
      <c r="AG8" s="36">
        <v>160</v>
      </c>
      <c r="AH8" s="36">
        <v>160</v>
      </c>
      <c r="AI8" s="38">
        <f>AH8/AG8*100</f>
        <v>100</v>
      </c>
    </row>
    <row r="9" spans="1:35" s="22" customFormat="1" ht="14.25" x14ac:dyDescent="0.25">
      <c r="A9" s="7"/>
      <c r="B9" s="13" t="s">
        <v>33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93">
        <f>O8</f>
        <v>10672000</v>
      </c>
      <c r="P9" s="193">
        <f>P8</f>
        <v>10216100</v>
      </c>
      <c r="Q9" s="193">
        <f>(P9-O9)/O9*100</f>
        <v>-4.2719265367316339</v>
      </c>
      <c r="R9" s="10"/>
      <c r="S9" s="10"/>
      <c r="T9" s="193">
        <f t="shared" ref="T9:U9" si="1">T8</f>
        <v>10061460.970000001</v>
      </c>
      <c r="U9" s="193">
        <f t="shared" si="1"/>
        <v>10061460.970000001</v>
      </c>
      <c r="V9" s="193">
        <f>U9/P9*100</f>
        <v>98.486320317929554</v>
      </c>
      <c r="W9" s="10"/>
      <c r="X9" s="10"/>
      <c r="Y9" s="10"/>
      <c r="Z9" s="10"/>
      <c r="AA9" s="11"/>
      <c r="AB9" s="10"/>
      <c r="AC9" s="10"/>
      <c r="AD9" s="193">
        <f>AD8</f>
        <v>0</v>
      </c>
      <c r="AE9" s="49"/>
      <c r="AF9" s="160"/>
      <c r="AG9" s="161"/>
      <c r="AH9" s="160"/>
      <c r="AI9" s="162"/>
    </row>
    <row r="10" spans="1:35" s="22" customFormat="1" ht="14.25" x14ac:dyDescent="0.25">
      <c r="A10" s="7"/>
      <c r="B10" s="13" t="s">
        <v>34</v>
      </c>
      <c r="C10" s="10"/>
      <c r="D10" s="15"/>
      <c r="E10" s="7"/>
      <c r="F10" s="50"/>
      <c r="G10" s="50"/>
      <c r="H10" s="14"/>
      <c r="I10" s="50"/>
      <c r="J10" s="50"/>
      <c r="K10" s="50"/>
      <c r="L10" s="11"/>
      <c r="M10" s="50"/>
      <c r="N10" s="50"/>
      <c r="O10" s="185">
        <f>O9</f>
        <v>10672000</v>
      </c>
      <c r="P10" s="185">
        <f>P9</f>
        <v>10216100</v>
      </c>
      <c r="Q10" s="184">
        <f>(P10-O10)/O10*100</f>
        <v>-4.2719265367316339</v>
      </c>
      <c r="R10" s="46"/>
      <c r="S10" s="46"/>
      <c r="T10" s="185">
        <f>T9</f>
        <v>10061460.970000001</v>
      </c>
      <c r="U10" s="185">
        <f>U9</f>
        <v>10061460.970000001</v>
      </c>
      <c r="V10" s="185">
        <f>T10/P10*100</f>
        <v>98.486320317929554</v>
      </c>
      <c r="W10" s="46"/>
      <c r="X10" s="46"/>
      <c r="Y10" s="45"/>
      <c r="Z10" s="45"/>
      <c r="AA10" s="11"/>
      <c r="AB10" s="46"/>
      <c r="AC10" s="46"/>
      <c r="AD10" s="185">
        <f t="shared" ref="AD10" si="2">AD9</f>
        <v>0</v>
      </c>
      <c r="AE10" s="45"/>
      <c r="AF10" s="47"/>
      <c r="AG10" s="47"/>
      <c r="AH10" s="47"/>
      <c r="AI10" s="162"/>
    </row>
    <row r="11" spans="1:35" x14ac:dyDescent="0.25">
      <c r="A11" s="52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4"/>
      <c r="S11" s="24"/>
      <c r="T11" s="19"/>
      <c r="U11" s="19"/>
      <c r="V11" s="19"/>
      <c r="W11" s="19"/>
      <c r="X11" s="19"/>
      <c r="Y11" s="18"/>
      <c r="Z11" s="18"/>
      <c r="AA11" s="19"/>
      <c r="AB11" s="19"/>
      <c r="AC11" s="19"/>
      <c r="AD11" s="19"/>
      <c r="AE11" s="19"/>
      <c r="AF11" s="19"/>
    </row>
    <row r="12" spans="1:35" x14ac:dyDescent="0.25">
      <c r="A12" s="52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4"/>
      <c r="S12" s="24"/>
      <c r="T12" s="19"/>
      <c r="U12" s="19"/>
      <c r="V12" s="19"/>
      <c r="W12" s="19"/>
      <c r="X12" s="19"/>
      <c r="Y12" s="18"/>
      <c r="Z12" s="18"/>
      <c r="AA12" s="19"/>
      <c r="AB12" s="19"/>
      <c r="AC12" s="19"/>
      <c r="AD12" s="19"/>
      <c r="AE12" s="19"/>
      <c r="AF12" s="19"/>
    </row>
    <row r="13" spans="1:35" x14ac:dyDescent="0.25">
      <c r="A13" s="52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4"/>
      <c r="S13" s="24"/>
      <c r="T13" s="19"/>
      <c r="U13" s="19"/>
      <c r="V13" s="19"/>
      <c r="W13" s="19"/>
      <c r="X13" s="19"/>
      <c r="Y13" s="18"/>
      <c r="Z13" s="18"/>
      <c r="AA13" s="19"/>
      <c r="AB13" s="19"/>
      <c r="AC13" s="19"/>
      <c r="AD13" s="19"/>
      <c r="AE13" s="19"/>
      <c r="AF13" s="19"/>
    </row>
    <row r="14" spans="1:35" x14ac:dyDescent="0.25">
      <c r="A14" s="52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4"/>
      <c r="S14" s="24"/>
      <c r="T14" s="19"/>
      <c r="U14" s="19"/>
      <c r="V14" s="19"/>
      <c r="W14" s="19"/>
      <c r="X14" s="19"/>
      <c r="Y14" s="18"/>
      <c r="Z14" s="18"/>
      <c r="AA14" s="19"/>
      <c r="AB14" s="19"/>
      <c r="AC14" s="19"/>
      <c r="AD14" s="19"/>
      <c r="AE14" s="19"/>
      <c r="AF14" s="19"/>
    </row>
    <row r="15" spans="1:35" x14ac:dyDescent="0.25">
      <c r="A15" s="52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4"/>
      <c r="S15" s="24"/>
      <c r="T15" s="19"/>
      <c r="U15" s="19"/>
      <c r="V15" s="19"/>
      <c r="W15" s="19"/>
      <c r="X15" s="19"/>
      <c r="Y15" s="18"/>
      <c r="Z15" s="18"/>
      <c r="AA15" s="19"/>
      <c r="AB15" s="19"/>
      <c r="AC15" s="19"/>
      <c r="AD15" s="19"/>
      <c r="AE15" s="19"/>
      <c r="AF15" s="19"/>
    </row>
    <row r="16" spans="1:35" ht="36" customHeight="1" x14ac:dyDescent="0.25">
      <c r="A16" s="196" t="s">
        <v>50</v>
      </c>
      <c r="B16" s="196"/>
      <c r="D16" s="165"/>
      <c r="E16" s="19"/>
      <c r="F16" s="198" t="s">
        <v>53</v>
      </c>
      <c r="G16" s="19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4"/>
      <c r="S16" s="16"/>
      <c r="W16" s="19"/>
      <c r="X16" s="19"/>
      <c r="Y16" s="18"/>
      <c r="Z16" s="18"/>
      <c r="AA16" s="19"/>
      <c r="AB16" s="19"/>
      <c r="AC16" s="19"/>
      <c r="AD16" s="19"/>
      <c r="AE16" s="19"/>
      <c r="AF16" s="19"/>
    </row>
    <row r="17" spans="1:32" x14ac:dyDescent="0.25">
      <c r="A17" s="52"/>
      <c r="D17" s="23" t="s">
        <v>52</v>
      </c>
      <c r="E17" s="19"/>
      <c r="F17" s="199" t="s">
        <v>54</v>
      </c>
      <c r="G17" s="19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4"/>
      <c r="S17" s="16"/>
      <c r="W17" s="19"/>
      <c r="X17" s="19"/>
      <c r="Y17" s="18"/>
      <c r="Z17" s="18"/>
      <c r="AA17" s="19"/>
      <c r="AB17" s="19"/>
      <c r="AC17" s="19"/>
      <c r="AD17" s="19"/>
      <c r="AE17" s="19"/>
      <c r="AF17" s="19"/>
    </row>
    <row r="18" spans="1:32" x14ac:dyDescent="0.25">
      <c r="A18" s="52"/>
    </row>
    <row r="19" spans="1:32" x14ac:dyDescent="0.25">
      <c r="A19" s="197" t="s">
        <v>223</v>
      </c>
      <c r="B19" s="197"/>
      <c r="C19" s="197"/>
      <c r="D19" s="197"/>
      <c r="E19" s="197"/>
      <c r="F19" s="197"/>
    </row>
    <row r="20" spans="1:32" x14ac:dyDescent="0.25">
      <c r="A20" s="166"/>
      <c r="B20" s="166"/>
      <c r="C20" s="166"/>
      <c r="D20" s="167"/>
      <c r="E20" s="167"/>
      <c r="F20" s="167"/>
    </row>
    <row r="21" spans="1:32" x14ac:dyDescent="0.25">
      <c r="A21" s="197" t="s">
        <v>51</v>
      </c>
      <c r="B21" s="197"/>
      <c r="C21" s="197"/>
      <c r="D21" s="197"/>
      <c r="E21" s="197"/>
      <c r="F21" s="167"/>
    </row>
    <row r="22" spans="1:32" x14ac:dyDescent="0.25">
      <c r="A22" s="52"/>
    </row>
  </sheetData>
  <mergeCells count="37">
    <mergeCell ref="W5:X5"/>
    <mergeCell ref="Q5:Q6"/>
    <mergeCell ref="R5:S5"/>
    <mergeCell ref="T5:T6"/>
    <mergeCell ref="U5:U6"/>
    <mergeCell ref="V5:V6"/>
    <mergeCell ref="K5:K6"/>
    <mergeCell ref="L5:L6"/>
    <mergeCell ref="M5:N5"/>
    <mergeCell ref="O5:O6"/>
    <mergeCell ref="P5:P6"/>
    <mergeCell ref="E5:E6"/>
    <mergeCell ref="F5:F6"/>
    <mergeCell ref="G5:G6"/>
    <mergeCell ref="H5:H6"/>
    <mergeCell ref="I5:J5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A16:B16"/>
    <mergeCell ref="A19:F19"/>
    <mergeCell ref="A21:E21"/>
    <mergeCell ref="F16:G16"/>
    <mergeCell ref="F17:G17"/>
  </mergeCells>
  <printOptions horizontalCentered="1"/>
  <pageMargins left="0.19685039370078741" right="0.19685039370078741" top="0.94488188976377963" bottom="0.15748031496062992" header="0.31496062992125984" footer="0.51181102362204722"/>
  <pageSetup paperSize="9" scale="39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E5B6F"/>
    <pageSetUpPr fitToPage="1"/>
  </sheetPr>
  <dimension ref="A1:AI26"/>
  <sheetViews>
    <sheetView view="pageBreakPreview" zoomScale="70" zoomScaleNormal="70" zoomScaleSheetLayoutView="70" zoomScalePage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Z19" sqref="Z19"/>
    </sheetView>
  </sheetViews>
  <sheetFormatPr defaultRowHeight="15" x14ac:dyDescent="0.25"/>
  <cols>
    <col min="1" max="1" width="13.85546875" style="1" customWidth="1"/>
    <col min="2" max="2" width="18.42578125" style="16" customWidth="1"/>
    <col min="3" max="3" width="15.5703125" style="16" customWidth="1"/>
    <col min="4" max="4" width="8.42578125" style="23" customWidth="1"/>
    <col min="5" max="5" width="13" style="17" customWidth="1"/>
    <col min="6" max="6" width="13.7109375" style="16" customWidth="1"/>
    <col min="7" max="7" width="11" style="16" customWidth="1"/>
    <col min="8" max="8" width="14.7109375" style="16" customWidth="1"/>
    <col min="9" max="10" width="11.42578125" style="16" customWidth="1"/>
    <col min="11" max="11" width="12.140625" style="16" customWidth="1"/>
    <col min="12" max="12" width="11.5703125" style="16" customWidth="1"/>
    <col min="13" max="14" width="6.5703125" style="16" customWidth="1"/>
    <col min="15" max="16" width="13.28515625" style="16" customWidth="1"/>
    <col min="17" max="17" width="15.28515625" style="16" customWidth="1"/>
    <col min="18" max="19" width="11.5703125" style="25" customWidth="1"/>
    <col min="20" max="21" width="14.85546875" style="16" customWidth="1"/>
    <col min="22" max="22" width="11.42578125" style="16" customWidth="1"/>
    <col min="23" max="24" width="6.85546875" style="16" customWidth="1"/>
    <col min="25" max="25" width="13.5703125" style="20" customWidth="1"/>
    <col min="26" max="26" width="11.140625" style="20" customWidth="1"/>
    <col min="27" max="27" width="15.28515625" style="16" customWidth="1"/>
    <col min="28" max="29" width="11.42578125" style="16" customWidth="1"/>
    <col min="30" max="30" width="13.28515625" style="16" customWidth="1"/>
    <col min="31" max="31" width="13.28515625" style="16" hidden="1" customWidth="1"/>
    <col min="32" max="32" width="25.28515625" style="16" hidden="1" customWidth="1"/>
    <col min="33" max="34" width="11.7109375" style="16" hidden="1" customWidth="1"/>
    <col min="35" max="35" width="11.42578125" style="16" hidden="1" customWidth="1"/>
    <col min="36" max="1025" width="8.85546875" style="16" customWidth="1"/>
    <col min="1026" max="16384" width="9.140625" style="16"/>
  </cols>
  <sheetData>
    <row r="1" spans="1:35" s="62" customFormat="1" ht="45.75" customHeight="1" x14ac:dyDescent="0.25">
      <c r="A1" s="200" t="s">
        <v>212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</row>
    <row r="2" spans="1:35" ht="20.25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5" ht="29.25" customHeight="1" x14ac:dyDescent="0.25">
      <c r="A3" s="201" t="s">
        <v>0</v>
      </c>
      <c r="B3" s="201" t="s">
        <v>1</v>
      </c>
      <c r="C3" s="201" t="s">
        <v>2</v>
      </c>
      <c r="D3" s="201" t="s">
        <v>3</v>
      </c>
      <c r="E3" s="201" t="s">
        <v>4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2" t="s">
        <v>230</v>
      </c>
      <c r="Z3" s="202"/>
      <c r="AA3" s="202"/>
      <c r="AB3" s="202"/>
      <c r="AC3" s="202"/>
      <c r="AD3" s="201" t="s">
        <v>210</v>
      </c>
      <c r="AE3" s="201" t="s">
        <v>5</v>
      </c>
      <c r="AF3" s="201" t="s">
        <v>231</v>
      </c>
      <c r="AG3" s="201"/>
      <c r="AH3" s="201"/>
      <c r="AI3" s="201"/>
    </row>
    <row r="4" spans="1:35" ht="17.649999999999999" customHeight="1" x14ac:dyDescent="0.25">
      <c r="A4" s="201"/>
      <c r="B4" s="201"/>
      <c r="C4" s="201"/>
      <c r="D4" s="201"/>
      <c r="E4" s="203" t="s">
        <v>6</v>
      </c>
      <c r="F4" s="203"/>
      <c r="G4" s="203"/>
      <c r="H4" s="203"/>
      <c r="I4" s="203"/>
      <c r="J4" s="203"/>
      <c r="K4" s="203"/>
      <c r="L4" s="203"/>
      <c r="M4" s="203"/>
      <c r="N4" s="203"/>
      <c r="O4" s="204" t="s">
        <v>209</v>
      </c>
      <c r="P4" s="204"/>
      <c r="Q4" s="204"/>
      <c r="R4" s="204"/>
      <c r="S4" s="204"/>
      <c r="T4" s="204"/>
      <c r="U4" s="204"/>
      <c r="V4" s="204"/>
      <c r="W4" s="204"/>
      <c r="X4" s="204"/>
      <c r="Y4" s="205" t="s">
        <v>7</v>
      </c>
      <c r="Z4" s="205" t="s">
        <v>8</v>
      </c>
      <c r="AA4" s="205" t="s">
        <v>9</v>
      </c>
      <c r="AB4" s="205" t="s">
        <v>10</v>
      </c>
      <c r="AC4" s="205"/>
      <c r="AD4" s="201"/>
      <c r="AE4" s="201"/>
      <c r="AF4" s="201"/>
      <c r="AG4" s="201"/>
      <c r="AH4" s="201"/>
      <c r="AI4" s="201"/>
    </row>
    <row r="5" spans="1:35" ht="108" customHeight="1" x14ac:dyDescent="0.25">
      <c r="A5" s="201"/>
      <c r="B5" s="201"/>
      <c r="C5" s="201"/>
      <c r="D5" s="201"/>
      <c r="E5" s="205" t="s">
        <v>11</v>
      </c>
      <c r="F5" s="205" t="s">
        <v>12</v>
      </c>
      <c r="G5" s="205" t="s">
        <v>13</v>
      </c>
      <c r="H5" s="205" t="s">
        <v>14</v>
      </c>
      <c r="I5" s="205" t="s">
        <v>15</v>
      </c>
      <c r="J5" s="205"/>
      <c r="K5" s="205" t="s">
        <v>16</v>
      </c>
      <c r="L5" s="205" t="s">
        <v>17</v>
      </c>
      <c r="M5" s="205" t="s">
        <v>18</v>
      </c>
      <c r="N5" s="205"/>
      <c r="O5" s="205" t="s">
        <v>19</v>
      </c>
      <c r="P5" s="205" t="s">
        <v>20</v>
      </c>
      <c r="Q5" s="205" t="s">
        <v>21</v>
      </c>
      <c r="R5" s="205" t="s">
        <v>22</v>
      </c>
      <c r="S5" s="205"/>
      <c r="T5" s="205" t="s">
        <v>56</v>
      </c>
      <c r="U5" s="205" t="s">
        <v>23</v>
      </c>
      <c r="V5" s="205" t="s">
        <v>24</v>
      </c>
      <c r="W5" s="205" t="s">
        <v>18</v>
      </c>
      <c r="X5" s="205"/>
      <c r="Y5" s="205"/>
      <c r="Z5" s="205"/>
      <c r="AA5" s="205"/>
      <c r="AB5" s="205"/>
      <c r="AC5" s="205"/>
      <c r="AD5" s="201"/>
      <c r="AE5" s="201"/>
      <c r="AF5" s="201"/>
      <c r="AG5" s="201"/>
      <c r="AH5" s="201"/>
      <c r="AI5" s="201"/>
    </row>
    <row r="6" spans="1:35" ht="91.5" customHeight="1" x14ac:dyDescent="0.25">
      <c r="A6" s="201"/>
      <c r="B6" s="201"/>
      <c r="C6" s="201"/>
      <c r="D6" s="201"/>
      <c r="E6" s="205"/>
      <c r="F6" s="205"/>
      <c r="G6" s="205"/>
      <c r="H6" s="205"/>
      <c r="I6" s="2" t="s">
        <v>25</v>
      </c>
      <c r="J6" s="3" t="s">
        <v>26</v>
      </c>
      <c r="K6" s="205"/>
      <c r="L6" s="205"/>
      <c r="M6" s="2" t="s">
        <v>27</v>
      </c>
      <c r="N6" s="3" t="s">
        <v>28</v>
      </c>
      <c r="O6" s="205"/>
      <c r="P6" s="205"/>
      <c r="Q6" s="205"/>
      <c r="R6" s="2" t="s">
        <v>29</v>
      </c>
      <c r="S6" s="3" t="s">
        <v>26</v>
      </c>
      <c r="T6" s="205"/>
      <c r="U6" s="205"/>
      <c r="V6" s="205"/>
      <c r="W6" s="2" t="s">
        <v>27</v>
      </c>
      <c r="X6" s="3" t="s">
        <v>28</v>
      </c>
      <c r="Y6" s="205"/>
      <c r="Z6" s="205"/>
      <c r="AA6" s="205"/>
      <c r="AB6" s="4" t="s">
        <v>25</v>
      </c>
      <c r="AC6" s="4" t="s">
        <v>26</v>
      </c>
      <c r="AD6" s="201"/>
      <c r="AE6" s="201"/>
      <c r="AF6" s="4" t="s">
        <v>30</v>
      </c>
      <c r="AG6" s="4" t="s">
        <v>232</v>
      </c>
      <c r="AH6" s="4" t="s">
        <v>233</v>
      </c>
      <c r="AI6" s="4" t="s">
        <v>31</v>
      </c>
    </row>
    <row r="7" spans="1:35" x14ac:dyDescent="0.25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  <c r="S7" s="74">
        <v>19</v>
      </c>
      <c r="T7" s="74">
        <v>20</v>
      </c>
      <c r="U7" s="74">
        <v>21</v>
      </c>
      <c r="V7" s="74">
        <v>22</v>
      </c>
      <c r="W7" s="74">
        <v>23</v>
      </c>
      <c r="X7" s="74">
        <v>24</v>
      </c>
      <c r="Y7" s="74">
        <v>25</v>
      </c>
      <c r="Z7" s="74">
        <v>26</v>
      </c>
      <c r="AA7" s="74">
        <v>27</v>
      </c>
      <c r="AB7" s="74">
        <v>28</v>
      </c>
      <c r="AC7" s="74">
        <v>29</v>
      </c>
      <c r="AD7" s="74">
        <v>30</v>
      </c>
      <c r="AE7" s="74">
        <v>31</v>
      </c>
      <c r="AF7" s="74">
        <v>32</v>
      </c>
      <c r="AG7" s="74">
        <v>33</v>
      </c>
      <c r="AH7" s="74">
        <v>34</v>
      </c>
      <c r="AI7" s="21">
        <v>35</v>
      </c>
    </row>
    <row r="8" spans="1:35" ht="45" x14ac:dyDescent="0.25">
      <c r="A8" s="233" t="s">
        <v>40</v>
      </c>
      <c r="B8" s="236" t="s">
        <v>39</v>
      </c>
      <c r="C8" s="239" t="s">
        <v>227</v>
      </c>
      <c r="D8" s="239">
        <v>1</v>
      </c>
      <c r="E8" s="236" t="s">
        <v>73</v>
      </c>
      <c r="F8" s="206">
        <v>2865</v>
      </c>
      <c r="G8" s="206">
        <v>3201</v>
      </c>
      <c r="H8" s="227">
        <f>(G8-F8)/F8*100</f>
        <v>11.727748691099476</v>
      </c>
      <c r="I8" s="206">
        <v>1</v>
      </c>
      <c r="J8" s="206">
        <v>0</v>
      </c>
      <c r="K8" s="206">
        <v>3201</v>
      </c>
      <c r="L8" s="230">
        <f>K8/G8*100</f>
        <v>100</v>
      </c>
      <c r="M8" s="206">
        <v>0</v>
      </c>
      <c r="N8" s="206">
        <v>0</v>
      </c>
      <c r="O8" s="221">
        <v>27775000</v>
      </c>
      <c r="P8" s="221">
        <v>24443845.609999999</v>
      </c>
      <c r="Q8" s="224">
        <f>(P8-O8)/O8*100</f>
        <v>-11.993355139513953</v>
      </c>
      <c r="R8" s="206">
        <v>0</v>
      </c>
      <c r="S8" s="206">
        <v>1</v>
      </c>
      <c r="T8" s="221">
        <v>24443845.609999999</v>
      </c>
      <c r="U8" s="221">
        <v>24228550.149999999</v>
      </c>
      <c r="V8" s="221">
        <f>U8/P8*100</f>
        <v>99.119224268410846</v>
      </c>
      <c r="W8" s="206">
        <v>0</v>
      </c>
      <c r="X8" s="206">
        <v>0</v>
      </c>
      <c r="Y8" s="215">
        <f>O8/F8</f>
        <v>9694.5898778359515</v>
      </c>
      <c r="Z8" s="215">
        <f>P8/G8</f>
        <v>7636.3154045610745</v>
      </c>
      <c r="AA8" s="218">
        <f>(Z8-Y8)/Y8*100</f>
        <v>-21.231166033960477</v>
      </c>
      <c r="AB8" s="206">
        <v>0</v>
      </c>
      <c r="AC8" s="206">
        <v>1</v>
      </c>
      <c r="AD8" s="209">
        <f>T8-U8</f>
        <v>215295.46000000089</v>
      </c>
      <c r="AE8" s="212">
        <v>100</v>
      </c>
      <c r="AF8" s="177" t="s">
        <v>224</v>
      </c>
      <c r="AG8" s="74">
        <v>3</v>
      </c>
      <c r="AH8" s="74">
        <v>6</v>
      </c>
      <c r="AI8" s="38">
        <f>AH8/AG8*100</f>
        <v>200</v>
      </c>
    </row>
    <row r="9" spans="1:35" ht="45" x14ac:dyDescent="0.25">
      <c r="A9" s="234"/>
      <c r="B9" s="237"/>
      <c r="C9" s="240"/>
      <c r="D9" s="240"/>
      <c r="E9" s="237"/>
      <c r="F9" s="207"/>
      <c r="G9" s="207"/>
      <c r="H9" s="228"/>
      <c r="I9" s="207"/>
      <c r="J9" s="207"/>
      <c r="K9" s="207"/>
      <c r="L9" s="231"/>
      <c r="M9" s="207"/>
      <c r="N9" s="207"/>
      <c r="O9" s="222"/>
      <c r="P9" s="222"/>
      <c r="Q9" s="225"/>
      <c r="R9" s="207"/>
      <c r="S9" s="207"/>
      <c r="T9" s="222"/>
      <c r="U9" s="222"/>
      <c r="V9" s="222"/>
      <c r="W9" s="207"/>
      <c r="X9" s="207"/>
      <c r="Y9" s="216"/>
      <c r="Z9" s="216"/>
      <c r="AA9" s="219"/>
      <c r="AB9" s="207"/>
      <c r="AC9" s="207"/>
      <c r="AD9" s="210"/>
      <c r="AE9" s="213"/>
      <c r="AF9" s="177" t="s">
        <v>225</v>
      </c>
      <c r="AG9" s="74">
        <v>7</v>
      </c>
      <c r="AH9" s="74">
        <v>12</v>
      </c>
      <c r="AI9" s="38">
        <f>AH9/AG9*100</f>
        <v>171.42857142857142</v>
      </c>
    </row>
    <row r="10" spans="1:35" s="37" customFormat="1" ht="45" x14ac:dyDescent="0.25">
      <c r="A10" s="235"/>
      <c r="B10" s="238"/>
      <c r="C10" s="241"/>
      <c r="D10" s="241"/>
      <c r="E10" s="238"/>
      <c r="F10" s="208"/>
      <c r="G10" s="208"/>
      <c r="H10" s="229"/>
      <c r="I10" s="208"/>
      <c r="J10" s="208"/>
      <c r="K10" s="208"/>
      <c r="L10" s="232"/>
      <c r="M10" s="208"/>
      <c r="N10" s="208"/>
      <c r="O10" s="223"/>
      <c r="P10" s="223"/>
      <c r="Q10" s="226"/>
      <c r="R10" s="208"/>
      <c r="S10" s="208"/>
      <c r="T10" s="223"/>
      <c r="U10" s="223"/>
      <c r="V10" s="223"/>
      <c r="W10" s="208"/>
      <c r="X10" s="208"/>
      <c r="Y10" s="217"/>
      <c r="Z10" s="217"/>
      <c r="AA10" s="220"/>
      <c r="AB10" s="208"/>
      <c r="AC10" s="208"/>
      <c r="AD10" s="211"/>
      <c r="AE10" s="214"/>
      <c r="AF10" s="177" t="s">
        <v>226</v>
      </c>
      <c r="AG10" s="36">
        <v>280</v>
      </c>
      <c r="AH10" s="36">
        <v>376</v>
      </c>
      <c r="AI10" s="38">
        <f>AH10/AG10*100</f>
        <v>134.28571428571428</v>
      </c>
    </row>
    <row r="11" spans="1:35" s="171" customFormat="1" x14ac:dyDescent="0.25">
      <c r="A11" s="26"/>
      <c r="B11" s="48" t="s">
        <v>33</v>
      </c>
      <c r="C11" s="28"/>
      <c r="D11" s="29"/>
      <c r="E11" s="30"/>
      <c r="F11" s="30"/>
      <c r="G11" s="30"/>
      <c r="H11" s="42"/>
      <c r="I11" s="30"/>
      <c r="J11" s="30"/>
      <c r="K11" s="30"/>
      <c r="L11" s="42"/>
      <c r="M11" s="30"/>
      <c r="N11" s="30"/>
      <c r="O11" s="30">
        <f>O8</f>
        <v>27775000</v>
      </c>
      <c r="P11" s="30">
        <f>P8</f>
        <v>24443845.609999999</v>
      </c>
      <c r="Q11" s="30">
        <f>(P11-O11)/O11*100</f>
        <v>-11.993355139513953</v>
      </c>
      <c r="R11" s="30"/>
      <c r="S11" s="30"/>
      <c r="T11" s="30">
        <f>T8</f>
        <v>24443845.609999999</v>
      </c>
      <c r="U11" s="30">
        <f>U8</f>
        <v>24228550.149999999</v>
      </c>
      <c r="V11" s="30">
        <f>U11/P11*100</f>
        <v>99.119224268410846</v>
      </c>
      <c r="W11" s="30"/>
      <c r="X11" s="30"/>
      <c r="Y11" s="30"/>
      <c r="Z11" s="30"/>
      <c r="AA11" s="30"/>
      <c r="AB11" s="30"/>
      <c r="AC11" s="30"/>
      <c r="AD11" s="179">
        <f>T11-U11</f>
        <v>215295.46000000089</v>
      </c>
      <c r="AE11" s="43"/>
      <c r="AF11" s="59"/>
      <c r="AG11" s="31"/>
      <c r="AH11" s="59"/>
      <c r="AI11" s="70"/>
    </row>
    <row r="12" spans="1:35" s="171" customFormat="1" ht="14.25" x14ac:dyDescent="0.25">
      <c r="A12" s="26"/>
      <c r="B12" s="48" t="s">
        <v>34</v>
      </c>
      <c r="C12" s="30"/>
      <c r="D12" s="30"/>
      <c r="E12" s="30"/>
      <c r="F12" s="44"/>
      <c r="G12" s="44"/>
      <c r="H12" s="44"/>
      <c r="I12" s="44"/>
      <c r="J12" s="44"/>
      <c r="K12" s="44"/>
      <c r="L12" s="44"/>
      <c r="M12" s="44"/>
      <c r="N12" s="44"/>
      <c r="O12" s="51">
        <f>SUM(O11:O11)</f>
        <v>27775000</v>
      </c>
      <c r="P12" s="51">
        <f>SUM(P11:P11)</f>
        <v>24443845.609999999</v>
      </c>
      <c r="Q12" s="30">
        <f>(P12-O12)/O12*100</f>
        <v>-11.993355139513953</v>
      </c>
      <c r="R12" s="46"/>
      <c r="S12" s="46"/>
      <c r="T12" s="51">
        <f>SUM(T11:T11)</f>
        <v>24443845.609999999</v>
      </c>
      <c r="U12" s="51">
        <f>SUM(U11:U11)</f>
        <v>24228550.149999999</v>
      </c>
      <c r="V12" s="51">
        <f>U12/P12*100</f>
        <v>99.119224268410846</v>
      </c>
      <c r="W12" s="46"/>
      <c r="X12" s="46"/>
      <c r="Y12" s="46"/>
      <c r="Z12" s="46"/>
      <c r="AA12" s="46"/>
      <c r="AB12" s="46"/>
      <c r="AC12" s="46"/>
      <c r="AD12" s="51">
        <f>SUM(AD11:AD11)</f>
        <v>215295.46000000089</v>
      </c>
      <c r="AE12" s="45"/>
      <c r="AF12" s="47"/>
      <c r="AG12" s="47"/>
      <c r="AH12" s="47"/>
      <c r="AI12" s="43"/>
    </row>
    <row r="13" spans="1:35" x14ac:dyDescent="0.25">
      <c r="A13" s="52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4"/>
      <c r="S13" s="24"/>
      <c r="T13" s="19"/>
      <c r="U13" s="19"/>
      <c r="V13" s="19"/>
      <c r="W13" s="19"/>
      <c r="X13" s="19"/>
      <c r="Y13" s="18"/>
      <c r="Z13" s="18"/>
      <c r="AA13" s="19"/>
      <c r="AB13" s="19"/>
      <c r="AC13" s="19"/>
      <c r="AD13" s="19"/>
      <c r="AE13" s="19"/>
      <c r="AF13" s="19"/>
    </row>
    <row r="14" spans="1:35" x14ac:dyDescent="0.25">
      <c r="A14" s="52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4"/>
      <c r="S14" s="24"/>
      <c r="T14" s="19"/>
      <c r="U14" s="19"/>
      <c r="V14" s="19"/>
      <c r="W14" s="19"/>
      <c r="X14" s="19"/>
      <c r="Y14" s="18"/>
      <c r="Z14" s="18"/>
      <c r="AA14" s="19"/>
      <c r="AB14" s="19"/>
      <c r="AC14" s="19"/>
      <c r="AD14" s="19"/>
      <c r="AE14" s="19"/>
      <c r="AF14" s="19"/>
    </row>
    <row r="15" spans="1:35" x14ac:dyDescent="0.25">
      <c r="A15" s="52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4"/>
      <c r="S15" s="24"/>
      <c r="T15" s="19"/>
      <c r="U15" s="19"/>
      <c r="V15" s="19"/>
      <c r="W15" s="19"/>
      <c r="X15" s="19"/>
      <c r="Y15" s="18"/>
      <c r="Z15" s="18"/>
      <c r="AA15" s="19"/>
      <c r="AB15" s="19"/>
      <c r="AC15" s="19"/>
      <c r="AD15" s="19"/>
      <c r="AE15" s="19"/>
      <c r="AF15" s="19"/>
    </row>
    <row r="16" spans="1:35" x14ac:dyDescent="0.25">
      <c r="A16" s="52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4"/>
      <c r="S16" s="24"/>
      <c r="T16" s="19"/>
      <c r="U16" s="19"/>
      <c r="V16" s="19"/>
      <c r="W16" s="19"/>
      <c r="X16" s="19"/>
      <c r="Y16" s="18"/>
      <c r="Z16" s="18"/>
      <c r="AA16" s="19"/>
      <c r="AB16" s="19"/>
      <c r="AC16" s="19"/>
      <c r="AD16" s="19"/>
      <c r="AE16" s="19"/>
      <c r="AF16" s="19"/>
    </row>
    <row r="17" spans="1:32" x14ac:dyDescent="0.25">
      <c r="A17" s="52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4"/>
      <c r="S17" s="24"/>
      <c r="T17" s="19"/>
      <c r="U17" s="19"/>
      <c r="V17" s="19"/>
      <c r="W17" s="19"/>
      <c r="X17" s="19"/>
      <c r="Y17" s="18"/>
      <c r="Z17" s="18"/>
      <c r="AA17" s="19"/>
      <c r="AB17" s="19"/>
      <c r="AC17" s="19"/>
      <c r="AD17" s="19"/>
      <c r="AE17" s="19"/>
      <c r="AF17" s="19"/>
    </row>
    <row r="18" spans="1:32" ht="36" customHeight="1" x14ac:dyDescent="0.25">
      <c r="A18" s="196" t="s">
        <v>50</v>
      </c>
      <c r="B18" s="196"/>
      <c r="D18" s="165"/>
      <c r="E18" s="19"/>
      <c r="F18" s="198" t="s">
        <v>53</v>
      </c>
      <c r="G18" s="19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4"/>
      <c r="S18" s="16"/>
      <c r="W18" s="19"/>
      <c r="X18" s="19"/>
      <c r="Y18" s="18"/>
      <c r="Z18" s="18"/>
      <c r="AA18" s="19"/>
      <c r="AB18" s="19"/>
      <c r="AC18" s="19"/>
      <c r="AD18" s="19"/>
      <c r="AE18" s="19"/>
      <c r="AF18" s="19"/>
    </row>
    <row r="19" spans="1:32" x14ac:dyDescent="0.25">
      <c r="A19" s="52"/>
      <c r="D19" s="23" t="s">
        <v>52</v>
      </c>
      <c r="E19" s="19"/>
      <c r="F19" s="199" t="s">
        <v>54</v>
      </c>
      <c r="G19" s="19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4"/>
      <c r="S19" s="16"/>
      <c r="W19" s="19"/>
      <c r="X19" s="19"/>
      <c r="Y19" s="18"/>
      <c r="Z19" s="18"/>
      <c r="AA19" s="19"/>
      <c r="AB19" s="19"/>
      <c r="AC19" s="19"/>
      <c r="AD19" s="19"/>
      <c r="AE19" s="19"/>
      <c r="AF19" s="19"/>
    </row>
    <row r="20" spans="1:32" x14ac:dyDescent="0.25">
      <c r="A20" s="52"/>
    </row>
    <row r="21" spans="1:32" x14ac:dyDescent="0.25">
      <c r="A21" s="197" t="s">
        <v>223</v>
      </c>
      <c r="B21" s="197"/>
      <c r="C21" s="197"/>
      <c r="D21" s="197"/>
      <c r="E21" s="197"/>
      <c r="F21" s="197"/>
    </row>
    <row r="22" spans="1:32" x14ac:dyDescent="0.25">
      <c r="A22" s="166"/>
      <c r="B22" s="166"/>
      <c r="C22" s="166"/>
      <c r="D22" s="178"/>
      <c r="E22" s="178"/>
      <c r="F22" s="178"/>
    </row>
    <row r="23" spans="1:32" x14ac:dyDescent="0.25">
      <c r="A23" s="197" t="s">
        <v>51</v>
      </c>
      <c r="B23" s="197"/>
      <c r="C23" s="197"/>
      <c r="D23" s="197"/>
      <c r="E23" s="197"/>
      <c r="F23" s="178"/>
    </row>
    <row r="24" spans="1:32" x14ac:dyDescent="0.25">
      <c r="A24" s="52"/>
    </row>
    <row r="25" spans="1:32" x14ac:dyDescent="0.25">
      <c r="A25" s="52"/>
    </row>
    <row r="26" spans="1:32" x14ac:dyDescent="0.25">
      <c r="A26" s="52"/>
    </row>
  </sheetData>
  <mergeCells count="68">
    <mergeCell ref="W5:X5"/>
    <mergeCell ref="Q5:Q6"/>
    <mergeCell ref="R5:S5"/>
    <mergeCell ref="T5:T6"/>
    <mergeCell ref="U5:U6"/>
    <mergeCell ref="V5:V6"/>
    <mergeCell ref="K5:K6"/>
    <mergeCell ref="L5:L6"/>
    <mergeCell ref="M5:N5"/>
    <mergeCell ref="O5:O6"/>
    <mergeCell ref="P5:P6"/>
    <mergeCell ref="E5:E6"/>
    <mergeCell ref="F5:F6"/>
    <mergeCell ref="G5:G6"/>
    <mergeCell ref="H5:H6"/>
    <mergeCell ref="I5:J5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A8:A10"/>
    <mergeCell ref="B8:B10"/>
    <mergeCell ref="A18:B18"/>
    <mergeCell ref="A21:F21"/>
    <mergeCell ref="A23:E23"/>
    <mergeCell ref="F18:G18"/>
    <mergeCell ref="F19:G19"/>
    <mergeCell ref="D8:D10"/>
    <mergeCell ref="C8:C10"/>
    <mergeCell ref="E8:E10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Q8:Q10"/>
    <mergeCell ref="R8:R10"/>
    <mergeCell ref="S8:S10"/>
    <mergeCell ref="T8:T10"/>
    <mergeCell ref="U8:U10"/>
    <mergeCell ref="V8:V10"/>
    <mergeCell ref="AB8:AB10"/>
    <mergeCell ref="AC8:AC10"/>
    <mergeCell ref="AD8:AD10"/>
    <mergeCell ref="AE8:AE10"/>
    <mergeCell ref="W8:W10"/>
    <mergeCell ref="X8:X10"/>
    <mergeCell ref="Y8:Y10"/>
    <mergeCell ref="Z8:Z10"/>
    <mergeCell ref="AA8:AA10"/>
  </mergeCells>
  <pageMargins left="0.196527777777778" right="0.196527777777778" top="0.94513888888888897" bottom="0.15763888888888899" header="0.31527777777777799" footer="0.51180555555555496"/>
  <pageSetup paperSize="9" scale="39" firstPageNumber="0" fitToHeight="0" orientation="landscape" r:id="rId1"/>
  <headerFooter>
    <oddHeader>&amp;R&amp;"Times New Roman,Обычный"&amp;14&amp;P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D13B"/>
    <pageSetUpPr fitToPage="1"/>
  </sheetPr>
  <dimension ref="A1:AI26"/>
  <sheetViews>
    <sheetView view="pageBreakPreview" zoomScale="70" zoomScaleNormal="70" zoomScaleSheetLayoutView="70" zoomScalePageLayoutView="85" workbookViewId="0">
      <pane xSplit="2" ySplit="7" topLeftCell="D8" activePane="bottomRight" state="frozen"/>
      <selection pane="topRight" activeCell="C1" sqref="C1"/>
      <selection pane="bottomLeft" activeCell="A7" sqref="A7"/>
      <selection pane="bottomRight" activeCell="P8" sqref="P8:P9"/>
    </sheetView>
  </sheetViews>
  <sheetFormatPr defaultRowHeight="15" x14ac:dyDescent="0.25"/>
  <cols>
    <col min="1" max="1" width="14" style="1" customWidth="1"/>
    <col min="2" max="2" width="24" style="16" customWidth="1"/>
    <col min="3" max="3" width="16.7109375" style="16" customWidth="1"/>
    <col min="4" max="4" width="9.5703125" style="23" customWidth="1"/>
    <col min="5" max="5" width="10.85546875" style="17" customWidth="1"/>
    <col min="6" max="6" width="13.7109375" style="16" customWidth="1"/>
    <col min="7" max="7" width="14.28515625" style="16" customWidth="1"/>
    <col min="8" max="8" width="16.42578125" style="16" customWidth="1"/>
    <col min="9" max="10" width="12.28515625" style="16" customWidth="1"/>
    <col min="11" max="11" width="13.85546875" style="16" customWidth="1"/>
    <col min="12" max="12" width="12.28515625" style="16" customWidth="1"/>
    <col min="13" max="14" width="7.42578125" style="16" customWidth="1"/>
    <col min="15" max="16" width="12.7109375" style="16" customWidth="1"/>
    <col min="17" max="17" width="15.140625" style="16" customWidth="1"/>
    <col min="18" max="19" width="11.85546875" style="25" customWidth="1"/>
    <col min="20" max="20" width="12.5703125" style="16" customWidth="1"/>
    <col min="21" max="21" width="12.7109375" style="16" customWidth="1"/>
    <col min="22" max="22" width="11.7109375" style="16" customWidth="1"/>
    <col min="23" max="24" width="6.85546875" style="16" customWidth="1"/>
    <col min="25" max="25" width="13.5703125" style="20" customWidth="1"/>
    <col min="26" max="26" width="12" style="20" customWidth="1"/>
    <col min="27" max="27" width="15" style="16" customWidth="1"/>
    <col min="28" max="29" width="11.7109375" style="16" customWidth="1"/>
    <col min="30" max="30" width="13.140625" style="16" customWidth="1"/>
    <col min="31" max="31" width="13.7109375" style="16" hidden="1" customWidth="1"/>
    <col min="32" max="32" width="23" style="16" hidden="1" customWidth="1"/>
    <col min="33" max="34" width="11.85546875" style="16" hidden="1" customWidth="1"/>
    <col min="35" max="35" width="11.5703125" style="16" hidden="1" customWidth="1"/>
    <col min="36" max="1025" width="8.85546875" style="16" customWidth="1"/>
    <col min="1026" max="16384" width="9.140625" style="16"/>
  </cols>
  <sheetData>
    <row r="1" spans="1:35" s="62" customFormat="1" ht="32.1" customHeight="1" x14ac:dyDescent="0.25">
      <c r="A1" s="200" t="s">
        <v>213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</row>
    <row r="2" spans="1:35" ht="20.25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5" ht="29.25" customHeight="1" x14ac:dyDescent="0.25">
      <c r="A3" s="201" t="s">
        <v>0</v>
      </c>
      <c r="B3" s="201" t="s">
        <v>1</v>
      </c>
      <c r="C3" s="201" t="s">
        <v>2</v>
      </c>
      <c r="D3" s="201" t="s">
        <v>3</v>
      </c>
      <c r="E3" s="201" t="s">
        <v>4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2" t="s">
        <v>230</v>
      </c>
      <c r="Z3" s="202"/>
      <c r="AA3" s="202"/>
      <c r="AB3" s="202"/>
      <c r="AC3" s="202"/>
      <c r="AD3" s="201" t="s">
        <v>210</v>
      </c>
      <c r="AE3" s="201" t="s">
        <v>5</v>
      </c>
      <c r="AF3" s="201" t="s">
        <v>231</v>
      </c>
      <c r="AG3" s="201"/>
      <c r="AH3" s="201"/>
      <c r="AI3" s="201"/>
    </row>
    <row r="4" spans="1:35" ht="17.649999999999999" customHeight="1" x14ac:dyDescent="0.25">
      <c r="A4" s="201"/>
      <c r="B4" s="201"/>
      <c r="C4" s="201"/>
      <c r="D4" s="201"/>
      <c r="E4" s="203" t="s">
        <v>6</v>
      </c>
      <c r="F4" s="203"/>
      <c r="G4" s="203"/>
      <c r="H4" s="203"/>
      <c r="I4" s="203"/>
      <c r="J4" s="203"/>
      <c r="K4" s="203"/>
      <c r="L4" s="203"/>
      <c r="M4" s="203"/>
      <c r="N4" s="203"/>
      <c r="O4" s="204" t="s">
        <v>209</v>
      </c>
      <c r="P4" s="204"/>
      <c r="Q4" s="204"/>
      <c r="R4" s="204"/>
      <c r="S4" s="204"/>
      <c r="T4" s="204"/>
      <c r="U4" s="204"/>
      <c r="V4" s="204"/>
      <c r="W4" s="204"/>
      <c r="X4" s="204"/>
      <c r="Y4" s="205" t="s">
        <v>7</v>
      </c>
      <c r="Z4" s="205" t="s">
        <v>8</v>
      </c>
      <c r="AA4" s="205" t="s">
        <v>9</v>
      </c>
      <c r="AB4" s="205" t="s">
        <v>10</v>
      </c>
      <c r="AC4" s="205"/>
      <c r="AD4" s="201"/>
      <c r="AE4" s="201"/>
      <c r="AF4" s="201"/>
      <c r="AG4" s="201"/>
      <c r="AH4" s="201"/>
      <c r="AI4" s="201"/>
    </row>
    <row r="5" spans="1:35" ht="108" customHeight="1" x14ac:dyDescent="0.25">
      <c r="A5" s="201"/>
      <c r="B5" s="201"/>
      <c r="C5" s="201"/>
      <c r="D5" s="201"/>
      <c r="E5" s="205" t="s">
        <v>11</v>
      </c>
      <c r="F5" s="205" t="s">
        <v>12</v>
      </c>
      <c r="G5" s="205" t="s">
        <v>13</v>
      </c>
      <c r="H5" s="205" t="s">
        <v>14</v>
      </c>
      <c r="I5" s="205" t="s">
        <v>15</v>
      </c>
      <c r="J5" s="205"/>
      <c r="K5" s="205" t="s">
        <v>16</v>
      </c>
      <c r="L5" s="205" t="s">
        <v>17</v>
      </c>
      <c r="M5" s="205" t="s">
        <v>18</v>
      </c>
      <c r="N5" s="205"/>
      <c r="O5" s="205" t="s">
        <v>19</v>
      </c>
      <c r="P5" s="205" t="s">
        <v>20</v>
      </c>
      <c r="Q5" s="205" t="s">
        <v>21</v>
      </c>
      <c r="R5" s="205" t="s">
        <v>22</v>
      </c>
      <c r="S5" s="205"/>
      <c r="T5" s="205" t="s">
        <v>56</v>
      </c>
      <c r="U5" s="205" t="s">
        <v>23</v>
      </c>
      <c r="V5" s="205" t="s">
        <v>24</v>
      </c>
      <c r="W5" s="205" t="s">
        <v>18</v>
      </c>
      <c r="X5" s="205"/>
      <c r="Y5" s="205"/>
      <c r="Z5" s="205"/>
      <c r="AA5" s="205"/>
      <c r="AB5" s="205"/>
      <c r="AC5" s="205"/>
      <c r="AD5" s="201"/>
      <c r="AE5" s="201"/>
      <c r="AF5" s="201"/>
      <c r="AG5" s="201"/>
      <c r="AH5" s="201"/>
      <c r="AI5" s="201"/>
    </row>
    <row r="6" spans="1:35" ht="91.5" customHeight="1" x14ac:dyDescent="0.25">
      <c r="A6" s="201"/>
      <c r="B6" s="201"/>
      <c r="C6" s="201"/>
      <c r="D6" s="201"/>
      <c r="E6" s="205"/>
      <c r="F6" s="205"/>
      <c r="G6" s="205"/>
      <c r="H6" s="205"/>
      <c r="I6" s="2" t="s">
        <v>25</v>
      </c>
      <c r="J6" s="3" t="s">
        <v>26</v>
      </c>
      <c r="K6" s="205"/>
      <c r="L6" s="205"/>
      <c r="M6" s="2" t="s">
        <v>27</v>
      </c>
      <c r="N6" s="3" t="s">
        <v>28</v>
      </c>
      <c r="O6" s="205"/>
      <c r="P6" s="205"/>
      <c r="Q6" s="205"/>
      <c r="R6" s="2" t="s">
        <v>29</v>
      </c>
      <c r="S6" s="3" t="s">
        <v>26</v>
      </c>
      <c r="T6" s="205"/>
      <c r="U6" s="205"/>
      <c r="V6" s="205"/>
      <c r="W6" s="2" t="s">
        <v>27</v>
      </c>
      <c r="X6" s="3" t="s">
        <v>28</v>
      </c>
      <c r="Y6" s="205"/>
      <c r="Z6" s="205"/>
      <c r="AA6" s="205"/>
      <c r="AB6" s="4" t="s">
        <v>25</v>
      </c>
      <c r="AC6" s="4" t="s">
        <v>26</v>
      </c>
      <c r="AD6" s="201"/>
      <c r="AE6" s="201"/>
      <c r="AF6" s="4" t="s">
        <v>30</v>
      </c>
      <c r="AG6" s="4" t="s">
        <v>232</v>
      </c>
      <c r="AH6" s="4" t="s">
        <v>233</v>
      </c>
      <c r="AI6" s="4" t="s">
        <v>31</v>
      </c>
    </row>
    <row r="7" spans="1:35" x14ac:dyDescent="0.25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  <c r="U7" s="68">
        <v>21</v>
      </c>
      <c r="V7" s="68">
        <v>22</v>
      </c>
      <c r="W7" s="68">
        <v>23</v>
      </c>
      <c r="X7" s="68">
        <v>24</v>
      </c>
      <c r="Y7" s="68">
        <v>25</v>
      </c>
      <c r="Z7" s="68">
        <v>26</v>
      </c>
      <c r="AA7" s="68">
        <v>27</v>
      </c>
      <c r="AB7" s="68">
        <v>28</v>
      </c>
      <c r="AC7" s="68">
        <v>29</v>
      </c>
      <c r="AD7" s="68">
        <v>30</v>
      </c>
      <c r="AE7" s="68">
        <v>31</v>
      </c>
      <c r="AF7" s="68">
        <v>32</v>
      </c>
      <c r="AG7" s="68">
        <v>33</v>
      </c>
      <c r="AH7" s="68">
        <v>34</v>
      </c>
      <c r="AI7" s="21">
        <v>35</v>
      </c>
    </row>
    <row r="8" spans="1:35" s="37" customFormat="1" ht="33.75" customHeight="1" x14ac:dyDescent="0.25">
      <c r="A8" s="233" t="s">
        <v>43</v>
      </c>
      <c r="B8" s="268" t="s">
        <v>75</v>
      </c>
      <c r="C8" s="33" t="s">
        <v>227</v>
      </c>
      <c r="D8" s="34">
        <v>1</v>
      </c>
      <c r="E8" s="163" t="s">
        <v>81</v>
      </c>
      <c r="F8" s="36">
        <v>727.9</v>
      </c>
      <c r="G8" s="36">
        <v>727.9</v>
      </c>
      <c r="H8" s="12">
        <f>(G8-F8)/F8*100</f>
        <v>0</v>
      </c>
      <c r="I8" s="206">
        <v>0</v>
      </c>
      <c r="J8" s="206">
        <v>0</v>
      </c>
      <c r="K8" s="36">
        <v>727.9</v>
      </c>
      <c r="L8" s="39">
        <f>K8/G8*100</f>
        <v>100</v>
      </c>
      <c r="M8" s="206">
        <v>0</v>
      </c>
      <c r="N8" s="206">
        <v>0</v>
      </c>
      <c r="O8" s="254">
        <v>11929000</v>
      </c>
      <c r="P8" s="254">
        <v>11308057</v>
      </c>
      <c r="Q8" s="251">
        <f>(P8-O8)/O8*100</f>
        <v>-5.2053231620420828</v>
      </c>
      <c r="R8" s="206">
        <v>0</v>
      </c>
      <c r="S8" s="206">
        <v>0</v>
      </c>
      <c r="T8" s="254">
        <v>11308057</v>
      </c>
      <c r="U8" s="254">
        <v>11146861.57</v>
      </c>
      <c r="V8" s="254">
        <f>T8/P8*100</f>
        <v>100</v>
      </c>
      <c r="W8" s="206">
        <v>0</v>
      </c>
      <c r="X8" s="206">
        <v>0</v>
      </c>
      <c r="Y8" s="263">
        <f>O8/(F8+F9)</f>
        <v>4471.3070205030172</v>
      </c>
      <c r="Z8" s="263">
        <f>P8/(G8+G9)</f>
        <v>4079.5328114289837</v>
      </c>
      <c r="AA8" s="257">
        <f>(Z8-Y8)/Y8*100</f>
        <v>-8.7619617100227511</v>
      </c>
      <c r="AB8" s="206">
        <v>0</v>
      </c>
      <c r="AC8" s="206">
        <v>0</v>
      </c>
      <c r="AD8" s="242">
        <f>T8-U8</f>
        <v>161195.4299999997</v>
      </c>
      <c r="AE8" s="40"/>
      <c r="AF8" s="36"/>
      <c r="AG8" s="36"/>
      <c r="AH8" s="36"/>
      <c r="AI8" s="38" t="e">
        <f>AH8/AG8*100</f>
        <v>#DIV/0!</v>
      </c>
    </row>
    <row r="9" spans="1:35" s="37" customFormat="1" ht="33.75" customHeight="1" x14ac:dyDescent="0.25">
      <c r="A9" s="234"/>
      <c r="B9" s="269"/>
      <c r="C9" s="33" t="s">
        <v>227</v>
      </c>
      <c r="D9" s="34">
        <v>1</v>
      </c>
      <c r="E9" s="163" t="s">
        <v>73</v>
      </c>
      <c r="F9" s="36">
        <v>1940</v>
      </c>
      <c r="G9" s="36">
        <v>2044</v>
      </c>
      <c r="H9" s="12">
        <f>(G9-F9)/F9*100</f>
        <v>5.3608247422680408</v>
      </c>
      <c r="I9" s="208"/>
      <c r="J9" s="208"/>
      <c r="K9" s="36">
        <v>2044</v>
      </c>
      <c r="L9" s="39">
        <f>K9/G9*100</f>
        <v>100</v>
      </c>
      <c r="M9" s="208"/>
      <c r="N9" s="208"/>
      <c r="O9" s="256"/>
      <c r="P9" s="256"/>
      <c r="Q9" s="253"/>
      <c r="R9" s="208"/>
      <c r="S9" s="208"/>
      <c r="T9" s="256"/>
      <c r="U9" s="256"/>
      <c r="V9" s="256"/>
      <c r="W9" s="208"/>
      <c r="X9" s="208"/>
      <c r="Y9" s="265"/>
      <c r="Z9" s="265"/>
      <c r="AA9" s="259"/>
      <c r="AB9" s="208"/>
      <c r="AC9" s="208"/>
      <c r="AD9" s="244"/>
      <c r="AE9" s="40"/>
      <c r="AF9" s="36"/>
      <c r="AG9" s="36">
        <v>1650</v>
      </c>
      <c r="AH9" s="36">
        <v>1947</v>
      </c>
      <c r="AI9" s="38">
        <f>AH9/AG9*100</f>
        <v>118</v>
      </c>
    </row>
    <row r="10" spans="1:35" s="37" customFormat="1" ht="58.5" customHeight="1" x14ac:dyDescent="0.25">
      <c r="A10" s="234"/>
      <c r="B10" s="32" t="s">
        <v>79</v>
      </c>
      <c r="C10" s="33" t="s">
        <v>227</v>
      </c>
      <c r="D10" s="34">
        <v>1</v>
      </c>
      <c r="E10" s="35" t="s">
        <v>81</v>
      </c>
      <c r="F10" s="190">
        <v>492611</v>
      </c>
      <c r="G10" s="190">
        <v>766188.43</v>
      </c>
      <c r="H10" s="12">
        <f>(G10-F10)/F10*100</f>
        <v>55.536199963054024</v>
      </c>
      <c r="I10" s="36">
        <v>1</v>
      </c>
      <c r="J10" s="36">
        <v>0</v>
      </c>
      <c r="K10" s="36">
        <v>766188.43</v>
      </c>
      <c r="L10" s="39">
        <f>K10/G10*100</f>
        <v>100</v>
      </c>
      <c r="M10" s="36">
        <v>0</v>
      </c>
      <c r="N10" s="36">
        <v>0</v>
      </c>
      <c r="O10" s="182">
        <v>35847765.899999999</v>
      </c>
      <c r="P10" s="182">
        <v>35610220.57</v>
      </c>
      <c r="Q10" s="183">
        <f t="shared" ref="Q10" si="0">(P10-O10)/O10*100</f>
        <v>-0.6626503047990453</v>
      </c>
      <c r="R10" s="36">
        <v>0</v>
      </c>
      <c r="S10" s="36">
        <v>0</v>
      </c>
      <c r="T10" s="182">
        <v>34146460.899999999</v>
      </c>
      <c r="U10" s="182">
        <v>33977608.490000002</v>
      </c>
      <c r="V10" s="182">
        <f t="shared" ref="V10" si="1">T10/P10*100</f>
        <v>95.889495637572224</v>
      </c>
      <c r="W10" s="36">
        <v>0</v>
      </c>
      <c r="X10" s="36">
        <v>0</v>
      </c>
      <c r="Y10" s="186">
        <f>O10/F10</f>
        <v>72.770940762589547</v>
      </c>
      <c r="Z10" s="186">
        <f>P10/G10</f>
        <v>46.47710559920619</v>
      </c>
      <c r="AA10" s="187">
        <f t="shared" ref="AA10" si="2">(Z10-Y10)/Y10*100</f>
        <v>-36.132328217612688</v>
      </c>
      <c r="AB10" s="36">
        <v>0</v>
      </c>
      <c r="AC10" s="36">
        <v>1</v>
      </c>
      <c r="AD10" s="188">
        <f>T10-U10</f>
        <v>168852.40999999642</v>
      </c>
      <c r="AE10" s="212" t="s">
        <v>234</v>
      </c>
      <c r="AF10" s="206" t="s">
        <v>235</v>
      </c>
      <c r="AG10" s="206">
        <v>100</v>
      </c>
      <c r="AH10" s="206">
        <v>100</v>
      </c>
      <c r="AI10" s="260">
        <f t="shared" ref="AI10" si="3">AH10/AG10*100</f>
        <v>100</v>
      </c>
    </row>
    <row r="11" spans="1:35" s="37" customFormat="1" ht="58.5" customHeight="1" x14ac:dyDescent="0.25">
      <c r="A11" s="234"/>
      <c r="B11" s="268" t="s">
        <v>82</v>
      </c>
      <c r="C11" s="245" t="s">
        <v>227</v>
      </c>
      <c r="D11" s="248">
        <v>1</v>
      </c>
      <c r="E11" s="35" t="s">
        <v>218</v>
      </c>
      <c r="F11" s="36">
        <v>9</v>
      </c>
      <c r="G11" s="190">
        <v>11</v>
      </c>
      <c r="H11" s="12">
        <f>(K11-F11)/F11*100</f>
        <v>22.222222222222221</v>
      </c>
      <c r="I11" s="36">
        <v>1</v>
      </c>
      <c r="J11" s="36">
        <v>0</v>
      </c>
      <c r="K11" s="36">
        <v>11</v>
      </c>
      <c r="L11" s="39">
        <f>K11/G11*100</f>
        <v>100</v>
      </c>
      <c r="M11" s="36">
        <v>0</v>
      </c>
      <c r="N11" s="36">
        <v>0</v>
      </c>
      <c r="O11" s="254">
        <v>2979234.1</v>
      </c>
      <c r="P11" s="254">
        <v>3379234.1</v>
      </c>
      <c r="Q11" s="251">
        <f>(P11-O11)/O11*100</f>
        <v>13.426269523432213</v>
      </c>
      <c r="R11" s="206">
        <v>1</v>
      </c>
      <c r="S11" s="206">
        <v>0</v>
      </c>
      <c r="T11" s="254">
        <v>4079234.1</v>
      </c>
      <c r="U11" s="254">
        <v>3979234.1</v>
      </c>
      <c r="V11" s="254">
        <f>U11/P11*100</f>
        <v>117.75550264481529</v>
      </c>
      <c r="W11" s="206">
        <v>1</v>
      </c>
      <c r="X11" s="206">
        <v>0</v>
      </c>
      <c r="Y11" s="263">
        <f>O11/(F11+F12+F13)</f>
        <v>627.07516312355301</v>
      </c>
      <c r="Z11" s="263">
        <f>P11/(G11+G12+G13)</f>
        <v>710.96867241742063</v>
      </c>
      <c r="AA11" s="257">
        <f>(Z11-Y11)/Y11*100</f>
        <v>13.378541238339245</v>
      </c>
      <c r="AB11" s="206">
        <v>1</v>
      </c>
      <c r="AC11" s="206">
        <v>0</v>
      </c>
      <c r="AD11" s="242">
        <f>T11-U11</f>
        <v>100000</v>
      </c>
      <c r="AE11" s="213"/>
      <c r="AF11" s="207"/>
      <c r="AG11" s="207"/>
      <c r="AH11" s="207"/>
      <c r="AI11" s="261"/>
    </row>
    <row r="12" spans="1:35" s="37" customFormat="1" ht="58.5" customHeight="1" x14ac:dyDescent="0.25">
      <c r="A12" s="234"/>
      <c r="B12" s="270"/>
      <c r="C12" s="246"/>
      <c r="D12" s="249"/>
      <c r="E12" s="35" t="s">
        <v>218</v>
      </c>
      <c r="F12" s="36">
        <v>70</v>
      </c>
      <c r="G12" s="36">
        <v>70</v>
      </c>
      <c r="H12" s="12">
        <f t="shared" ref="H12:H13" si="4">(G12-F12)/F12*100</f>
        <v>0</v>
      </c>
      <c r="I12" s="36">
        <v>0</v>
      </c>
      <c r="J12" s="36">
        <v>0</v>
      </c>
      <c r="K12" s="36">
        <v>42</v>
      </c>
      <c r="L12" s="39">
        <f t="shared" ref="L12:L13" si="5">K12/G12*100</f>
        <v>60</v>
      </c>
      <c r="M12" s="36">
        <v>0</v>
      </c>
      <c r="N12" s="36">
        <v>0</v>
      </c>
      <c r="O12" s="255"/>
      <c r="P12" s="255"/>
      <c r="Q12" s="252"/>
      <c r="R12" s="207"/>
      <c r="S12" s="207"/>
      <c r="T12" s="255"/>
      <c r="U12" s="255"/>
      <c r="V12" s="255"/>
      <c r="W12" s="207"/>
      <c r="X12" s="207"/>
      <c r="Y12" s="264"/>
      <c r="Z12" s="266"/>
      <c r="AA12" s="258"/>
      <c r="AB12" s="207"/>
      <c r="AC12" s="207"/>
      <c r="AD12" s="243"/>
      <c r="AE12" s="213"/>
      <c r="AF12" s="207"/>
      <c r="AG12" s="207"/>
      <c r="AH12" s="207"/>
      <c r="AI12" s="261"/>
    </row>
    <row r="13" spans="1:35" s="37" customFormat="1" ht="58.5" customHeight="1" x14ac:dyDescent="0.25">
      <c r="A13" s="235"/>
      <c r="B13" s="269"/>
      <c r="C13" s="247"/>
      <c r="D13" s="250"/>
      <c r="E13" s="35" t="s">
        <v>219</v>
      </c>
      <c r="F13" s="36">
        <v>4672</v>
      </c>
      <c r="G13" s="36">
        <v>4672</v>
      </c>
      <c r="H13" s="12">
        <f t="shared" si="4"/>
        <v>0</v>
      </c>
      <c r="I13" s="36">
        <v>0</v>
      </c>
      <c r="J13" s="36">
        <v>0</v>
      </c>
      <c r="K13" s="36">
        <v>6073.6</v>
      </c>
      <c r="L13" s="39">
        <f t="shared" si="5"/>
        <v>130</v>
      </c>
      <c r="M13" s="36">
        <v>0</v>
      </c>
      <c r="N13" s="36">
        <v>0</v>
      </c>
      <c r="O13" s="256"/>
      <c r="P13" s="256"/>
      <c r="Q13" s="253"/>
      <c r="R13" s="208"/>
      <c r="S13" s="208"/>
      <c r="T13" s="256"/>
      <c r="U13" s="256"/>
      <c r="V13" s="256"/>
      <c r="W13" s="208"/>
      <c r="X13" s="208"/>
      <c r="Y13" s="265"/>
      <c r="Z13" s="267"/>
      <c r="AA13" s="259"/>
      <c r="AB13" s="208"/>
      <c r="AC13" s="208"/>
      <c r="AD13" s="244"/>
      <c r="AE13" s="214"/>
      <c r="AF13" s="208"/>
      <c r="AG13" s="208"/>
      <c r="AH13" s="208"/>
      <c r="AI13" s="262"/>
    </row>
    <row r="14" spans="1:35" s="171" customFormat="1" x14ac:dyDescent="0.25">
      <c r="A14" s="26"/>
      <c r="B14" s="27" t="s">
        <v>33</v>
      </c>
      <c r="C14" s="28"/>
      <c r="D14" s="29"/>
      <c r="E14" s="30"/>
      <c r="F14" s="30"/>
      <c r="G14" s="30"/>
      <c r="H14" s="42"/>
      <c r="I14" s="30"/>
      <c r="J14" s="30"/>
      <c r="K14" s="46"/>
      <c r="L14" s="42"/>
      <c r="M14" s="30"/>
      <c r="N14" s="30"/>
      <c r="O14" s="184">
        <f>SUM(O8:O13)</f>
        <v>50756000</v>
      </c>
      <c r="P14" s="184">
        <f>SUM(P8:P13)</f>
        <v>50297511.670000002</v>
      </c>
      <c r="Q14" s="184">
        <f t="shared" ref="Q14:Q15" si="6">(P14-O14)/O14*100</f>
        <v>-0.90331848451414254</v>
      </c>
      <c r="R14" s="30"/>
      <c r="S14" s="30"/>
      <c r="T14" s="184">
        <f>SUM(T8:T13)</f>
        <v>49533752</v>
      </c>
      <c r="U14" s="184">
        <f>SUM(U8:U13)</f>
        <v>49103704.160000004</v>
      </c>
      <c r="V14" s="185">
        <f t="shared" ref="V14:V15" si="7">T14/P14*100</f>
        <v>98.481515994248383</v>
      </c>
      <c r="W14" s="30"/>
      <c r="X14" s="30"/>
      <c r="Y14" s="184"/>
      <c r="Z14" s="184"/>
      <c r="AA14" s="187"/>
      <c r="AB14" s="30"/>
      <c r="AC14" s="30"/>
      <c r="AD14" s="184">
        <f>SUM(AD8:AD13)</f>
        <v>430047.83999999613</v>
      </c>
      <c r="AE14" s="43"/>
      <c r="AF14" s="59"/>
      <c r="AG14" s="31"/>
      <c r="AH14" s="59"/>
      <c r="AI14" s="38"/>
    </row>
    <row r="15" spans="1:35" s="171" customFormat="1" x14ac:dyDescent="0.25">
      <c r="A15" s="26"/>
      <c r="B15" s="27" t="s">
        <v>34</v>
      </c>
      <c r="C15" s="30"/>
      <c r="D15" s="30"/>
      <c r="E15" s="30"/>
      <c r="F15" s="44"/>
      <c r="G15" s="44"/>
      <c r="H15" s="44"/>
      <c r="I15" s="44"/>
      <c r="J15" s="44"/>
      <c r="K15" s="44"/>
      <c r="L15" s="44"/>
      <c r="M15" s="44"/>
      <c r="N15" s="44"/>
      <c r="O15" s="185">
        <f>O14</f>
        <v>50756000</v>
      </c>
      <c r="P15" s="185">
        <f>P14</f>
        <v>50297511.670000002</v>
      </c>
      <c r="Q15" s="184">
        <f t="shared" si="6"/>
        <v>-0.90331848451414254</v>
      </c>
      <c r="R15" s="46"/>
      <c r="S15" s="46"/>
      <c r="T15" s="185">
        <f>T14</f>
        <v>49533752</v>
      </c>
      <c r="U15" s="185">
        <f>U14</f>
        <v>49103704.160000004</v>
      </c>
      <c r="V15" s="185">
        <f t="shared" si="7"/>
        <v>98.481515994248383</v>
      </c>
      <c r="W15" s="46"/>
      <c r="X15" s="46"/>
      <c r="Y15" s="185"/>
      <c r="Z15" s="185"/>
      <c r="AA15" s="187"/>
      <c r="AB15" s="46"/>
      <c r="AC15" s="46"/>
      <c r="AD15" s="185">
        <f t="shared" ref="AD15" si="8">AD14</f>
        <v>430047.83999999613</v>
      </c>
      <c r="AE15" s="45"/>
      <c r="AF15" s="47"/>
      <c r="AG15" s="47"/>
      <c r="AH15" s="47"/>
      <c r="AI15" s="38"/>
    </row>
    <row r="16" spans="1:35" x14ac:dyDescent="0.25">
      <c r="A16" s="52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4"/>
      <c r="S16" s="24"/>
      <c r="T16" s="19"/>
      <c r="U16" s="19"/>
      <c r="V16" s="19"/>
      <c r="W16" s="19"/>
      <c r="X16" s="19"/>
      <c r="Y16" s="18"/>
      <c r="Z16" s="18"/>
      <c r="AA16" s="19"/>
      <c r="AB16" s="19"/>
      <c r="AC16" s="19"/>
      <c r="AD16" s="19"/>
      <c r="AE16" s="19"/>
      <c r="AF16" s="19"/>
    </row>
    <row r="17" spans="1:32" x14ac:dyDescent="0.25">
      <c r="A17" s="52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4"/>
      <c r="S17" s="24"/>
      <c r="T17" s="19"/>
      <c r="U17" s="19"/>
      <c r="V17" s="19"/>
      <c r="W17" s="19"/>
      <c r="X17" s="19"/>
      <c r="Y17" s="18"/>
      <c r="Z17" s="18"/>
      <c r="AA17" s="19"/>
      <c r="AB17" s="19"/>
      <c r="AC17" s="19"/>
      <c r="AD17" s="19"/>
      <c r="AE17" s="19"/>
      <c r="AF17" s="19"/>
    </row>
    <row r="18" spans="1:32" x14ac:dyDescent="0.25">
      <c r="A18" s="52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4"/>
      <c r="S18" s="24"/>
      <c r="T18" s="19"/>
      <c r="U18" s="19"/>
      <c r="V18" s="19"/>
      <c r="W18" s="19"/>
      <c r="X18" s="19"/>
      <c r="Y18" s="18"/>
      <c r="Z18" s="18"/>
      <c r="AA18" s="19"/>
      <c r="AB18" s="19"/>
      <c r="AC18" s="19"/>
      <c r="AD18" s="19"/>
      <c r="AE18" s="19"/>
      <c r="AF18" s="19"/>
    </row>
    <row r="19" spans="1:32" x14ac:dyDescent="0.25">
      <c r="A19" s="52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4"/>
      <c r="S19" s="24"/>
      <c r="T19" s="19"/>
      <c r="U19" s="19"/>
      <c r="V19" s="19"/>
      <c r="W19" s="19"/>
      <c r="X19" s="19"/>
      <c r="Y19" s="18"/>
      <c r="Z19" s="18"/>
      <c r="AA19" s="19"/>
      <c r="AB19" s="19"/>
      <c r="AC19" s="19"/>
      <c r="AD19" s="19"/>
      <c r="AE19" s="19"/>
      <c r="AF19" s="19"/>
    </row>
    <row r="20" spans="1:32" x14ac:dyDescent="0.25">
      <c r="A20" s="52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4"/>
      <c r="S20" s="24"/>
      <c r="T20" s="19"/>
      <c r="U20" s="19"/>
      <c r="V20" s="19"/>
      <c r="W20" s="19"/>
      <c r="X20" s="19"/>
      <c r="Y20" s="18"/>
      <c r="Z20" s="18"/>
      <c r="AA20" s="19"/>
      <c r="AB20" s="19"/>
      <c r="AC20" s="19"/>
      <c r="AD20" s="19"/>
      <c r="AE20" s="19"/>
      <c r="AF20" s="19"/>
    </row>
    <row r="21" spans="1:32" ht="36" customHeight="1" x14ac:dyDescent="0.25">
      <c r="A21" s="196" t="s">
        <v>50</v>
      </c>
      <c r="B21" s="196"/>
      <c r="D21" s="165"/>
      <c r="E21" s="19"/>
      <c r="F21" s="198" t="s">
        <v>53</v>
      </c>
      <c r="G21" s="19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4"/>
      <c r="S21" s="16"/>
      <c r="W21" s="19"/>
      <c r="X21" s="19"/>
      <c r="Y21" s="18"/>
      <c r="Z21" s="18"/>
      <c r="AA21" s="19"/>
      <c r="AB21" s="19"/>
      <c r="AC21" s="19"/>
      <c r="AD21" s="19"/>
      <c r="AE21" s="19"/>
      <c r="AF21" s="19"/>
    </row>
    <row r="22" spans="1:32" x14ac:dyDescent="0.25">
      <c r="A22" s="52"/>
      <c r="D22" s="23" t="s">
        <v>52</v>
      </c>
      <c r="E22" s="19"/>
      <c r="F22" s="199" t="s">
        <v>54</v>
      </c>
      <c r="G22" s="19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4"/>
      <c r="S22" s="16"/>
      <c r="W22" s="19"/>
      <c r="X22" s="19"/>
      <c r="Y22" s="18"/>
      <c r="Z22" s="18"/>
      <c r="AA22" s="19"/>
      <c r="AB22" s="19"/>
      <c r="AC22" s="19"/>
      <c r="AD22" s="19"/>
      <c r="AE22" s="19"/>
      <c r="AF22" s="19"/>
    </row>
    <row r="23" spans="1:32" x14ac:dyDescent="0.25">
      <c r="A23" s="52"/>
    </row>
    <row r="24" spans="1:32" x14ac:dyDescent="0.25">
      <c r="A24" s="197" t="s">
        <v>223</v>
      </c>
      <c r="B24" s="197"/>
      <c r="C24" s="197"/>
      <c r="D24" s="197"/>
      <c r="E24" s="197"/>
      <c r="F24" s="197"/>
    </row>
    <row r="25" spans="1:32" x14ac:dyDescent="0.25">
      <c r="A25" s="166"/>
      <c r="B25" s="166"/>
      <c r="C25" s="166"/>
      <c r="D25" s="167"/>
      <c r="E25" s="167"/>
      <c r="F25" s="167"/>
    </row>
    <row r="26" spans="1:32" x14ac:dyDescent="0.25">
      <c r="A26" s="197" t="s">
        <v>51</v>
      </c>
      <c r="B26" s="197"/>
      <c r="C26" s="197"/>
      <c r="D26" s="197"/>
      <c r="E26" s="197"/>
      <c r="F26" s="167"/>
    </row>
  </sheetData>
  <mergeCells count="83">
    <mergeCell ref="AB8:AB9"/>
    <mergeCell ref="AC8:AC9"/>
    <mergeCell ref="AD8:AD9"/>
    <mergeCell ref="W8:W9"/>
    <mergeCell ref="X8:X9"/>
    <mergeCell ref="Y8:Y9"/>
    <mergeCell ref="Z8:Z9"/>
    <mergeCell ref="AA8:AA9"/>
    <mergeCell ref="R8:R9"/>
    <mergeCell ref="S8:S9"/>
    <mergeCell ref="T8:T9"/>
    <mergeCell ref="U8:U9"/>
    <mergeCell ref="V8:V9"/>
    <mergeCell ref="M8:M9"/>
    <mergeCell ref="N8:N9"/>
    <mergeCell ref="O8:O9"/>
    <mergeCell ref="P8:P9"/>
    <mergeCell ref="Q8:Q9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W5:X5"/>
    <mergeCell ref="Q5:Q6"/>
    <mergeCell ref="R5:S5"/>
    <mergeCell ref="AB4:AC5"/>
    <mergeCell ref="A21:B21"/>
    <mergeCell ref="A24:F24"/>
    <mergeCell ref="G5:G6"/>
    <mergeCell ref="H5:H6"/>
    <mergeCell ref="I5:J5"/>
    <mergeCell ref="B8:B9"/>
    <mergeCell ref="B11:B13"/>
    <mergeCell ref="A8:A13"/>
    <mergeCell ref="T5:T6"/>
    <mergeCell ref="U5:U6"/>
    <mergeCell ref="V5:V6"/>
    <mergeCell ref="K5:K6"/>
    <mergeCell ref="L5:L6"/>
    <mergeCell ref="M5:N5"/>
    <mergeCell ref="O5:O6"/>
    <mergeCell ref="A26:E26"/>
    <mergeCell ref="F21:G21"/>
    <mergeCell ref="F22:G22"/>
    <mergeCell ref="Z4:Z6"/>
    <mergeCell ref="AA4:AA6"/>
    <mergeCell ref="P5:P6"/>
    <mergeCell ref="E5:E6"/>
    <mergeCell ref="F5:F6"/>
    <mergeCell ref="O11:O13"/>
    <mergeCell ref="P11:P13"/>
    <mergeCell ref="T11:T13"/>
    <mergeCell ref="U11:U13"/>
    <mergeCell ref="Y11:Y13"/>
    <mergeCell ref="Z11:Z13"/>
    <mergeCell ref="I8:I9"/>
    <mergeCell ref="J8:J9"/>
    <mergeCell ref="AE10:AE13"/>
    <mergeCell ref="AF10:AF13"/>
    <mergeCell ref="AG10:AG13"/>
    <mergeCell ref="AH10:AH13"/>
    <mergeCell ref="AI10:AI13"/>
    <mergeCell ref="AD11:AD13"/>
    <mergeCell ref="C11:C13"/>
    <mergeCell ref="D11:D13"/>
    <mergeCell ref="Q11:Q13"/>
    <mergeCell ref="R11:R13"/>
    <mergeCell ref="S11:S13"/>
    <mergeCell ref="V11:V13"/>
    <mergeCell ref="W11:W13"/>
    <mergeCell ref="X11:X13"/>
    <mergeCell ref="AA11:AA13"/>
    <mergeCell ref="AB11:AB13"/>
    <mergeCell ref="AC11:AC13"/>
  </mergeCells>
  <printOptions horizontalCentered="1"/>
  <pageMargins left="0.196527777777778" right="0.196527777777778" top="0.94513888888888897" bottom="0.15763888888888899" header="0.31527777777777799" footer="0.51180555555555496"/>
  <pageSetup paperSize="9" scale="38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157A"/>
    <pageSetUpPr fitToPage="1"/>
  </sheetPr>
  <dimension ref="A1:AI109"/>
  <sheetViews>
    <sheetView view="pageBreakPreview" zoomScale="70" zoomScaleNormal="70" zoomScaleSheetLayoutView="70" zoomScalePageLayoutView="85" workbookViewId="0">
      <pane xSplit="2" ySplit="7" topLeftCell="I8" activePane="bottomRight" state="frozen"/>
      <selection pane="topRight" activeCell="C1" sqref="C1"/>
      <selection pane="bottomLeft" activeCell="A7" sqref="A7"/>
      <selection pane="bottomRight" activeCell="T18" sqref="T18"/>
    </sheetView>
  </sheetViews>
  <sheetFormatPr defaultRowHeight="15" x14ac:dyDescent="0.25"/>
  <cols>
    <col min="1" max="1" width="14" style="1" customWidth="1"/>
    <col min="2" max="2" width="22.140625" style="16" customWidth="1"/>
    <col min="3" max="3" width="16.7109375" style="6" customWidth="1"/>
    <col min="4" max="4" width="9.5703125" style="169" customWidth="1"/>
    <col min="5" max="5" width="13.42578125" style="17" customWidth="1"/>
    <col min="6" max="6" width="13.7109375" style="6" customWidth="1"/>
    <col min="7" max="7" width="12.42578125" style="6" customWidth="1"/>
    <col min="8" max="8" width="15.42578125" style="6" customWidth="1"/>
    <col min="9" max="10" width="11.42578125" style="6" customWidth="1"/>
    <col min="11" max="11" width="12.42578125" style="6" customWidth="1"/>
    <col min="12" max="12" width="12.28515625" style="6" customWidth="1"/>
    <col min="13" max="14" width="7.42578125" style="6" customWidth="1"/>
    <col min="15" max="16" width="13.28515625" style="6" customWidth="1"/>
    <col min="17" max="17" width="14.5703125" style="6" customWidth="1"/>
    <col min="18" max="19" width="12" style="170" customWidth="1"/>
    <col min="20" max="21" width="12.7109375" style="6" customWidth="1"/>
    <col min="22" max="22" width="12" style="6" customWidth="1"/>
    <col min="23" max="24" width="6.85546875" style="6" customWidth="1"/>
    <col min="25" max="26" width="13.5703125" style="20" customWidth="1"/>
    <col min="27" max="27" width="15.28515625" style="6" customWidth="1"/>
    <col min="28" max="29" width="11.5703125" style="6" customWidth="1"/>
    <col min="30" max="30" width="13.5703125" style="6" customWidth="1"/>
    <col min="31" max="31" width="11.85546875" style="6" hidden="1" customWidth="1"/>
    <col min="32" max="32" width="17.28515625" style="16" hidden="1" customWidth="1"/>
    <col min="33" max="33" width="10.28515625" style="6" hidden="1" customWidth="1"/>
    <col min="34" max="34" width="11.5703125" style="6" hidden="1" customWidth="1"/>
    <col min="35" max="35" width="12.140625" style="6" hidden="1" customWidth="1"/>
    <col min="36" max="1025" width="8.85546875" style="6" customWidth="1"/>
    <col min="1026" max="16384" width="9.140625" style="6"/>
  </cols>
  <sheetData>
    <row r="1" spans="1:35" s="168" customFormat="1" ht="32.1" customHeight="1" x14ac:dyDescent="0.4">
      <c r="A1" s="271" t="s">
        <v>214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</row>
    <row r="2" spans="1:35" ht="20.25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s="16" customFormat="1" ht="29.25" customHeight="1" x14ac:dyDescent="0.25">
      <c r="A3" s="201" t="s">
        <v>0</v>
      </c>
      <c r="B3" s="201" t="s">
        <v>1</v>
      </c>
      <c r="C3" s="201" t="s">
        <v>2</v>
      </c>
      <c r="D3" s="201" t="s">
        <v>3</v>
      </c>
      <c r="E3" s="201" t="s">
        <v>4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2" t="s">
        <v>230</v>
      </c>
      <c r="Z3" s="202"/>
      <c r="AA3" s="202"/>
      <c r="AB3" s="202"/>
      <c r="AC3" s="202"/>
      <c r="AD3" s="201" t="s">
        <v>210</v>
      </c>
      <c r="AE3" s="201" t="s">
        <v>5</v>
      </c>
      <c r="AF3" s="201" t="s">
        <v>231</v>
      </c>
      <c r="AG3" s="201"/>
      <c r="AH3" s="201"/>
      <c r="AI3" s="201"/>
    </row>
    <row r="4" spans="1:35" s="16" customFormat="1" ht="17.649999999999999" customHeight="1" x14ac:dyDescent="0.25">
      <c r="A4" s="201"/>
      <c r="B4" s="201"/>
      <c r="C4" s="201"/>
      <c r="D4" s="201"/>
      <c r="E4" s="203" t="s">
        <v>6</v>
      </c>
      <c r="F4" s="203"/>
      <c r="G4" s="203"/>
      <c r="H4" s="203"/>
      <c r="I4" s="203"/>
      <c r="J4" s="203"/>
      <c r="K4" s="203"/>
      <c r="L4" s="203"/>
      <c r="M4" s="203"/>
      <c r="N4" s="203"/>
      <c r="O4" s="204" t="s">
        <v>209</v>
      </c>
      <c r="P4" s="204"/>
      <c r="Q4" s="204"/>
      <c r="R4" s="204"/>
      <c r="S4" s="204"/>
      <c r="T4" s="204"/>
      <c r="U4" s="204"/>
      <c r="V4" s="204"/>
      <c r="W4" s="204"/>
      <c r="X4" s="204"/>
      <c r="Y4" s="205" t="s">
        <v>7</v>
      </c>
      <c r="Z4" s="205" t="s">
        <v>8</v>
      </c>
      <c r="AA4" s="205" t="s">
        <v>9</v>
      </c>
      <c r="AB4" s="205" t="s">
        <v>10</v>
      </c>
      <c r="AC4" s="205"/>
      <c r="AD4" s="201"/>
      <c r="AE4" s="201"/>
      <c r="AF4" s="201"/>
      <c r="AG4" s="201"/>
      <c r="AH4" s="201"/>
      <c r="AI4" s="201"/>
    </row>
    <row r="5" spans="1:35" s="16" customFormat="1" ht="108" customHeight="1" x14ac:dyDescent="0.25">
      <c r="A5" s="201"/>
      <c r="B5" s="201"/>
      <c r="C5" s="201"/>
      <c r="D5" s="201"/>
      <c r="E5" s="205" t="s">
        <v>11</v>
      </c>
      <c r="F5" s="205" t="s">
        <v>12</v>
      </c>
      <c r="G5" s="205" t="s">
        <v>13</v>
      </c>
      <c r="H5" s="205" t="s">
        <v>14</v>
      </c>
      <c r="I5" s="205" t="s">
        <v>15</v>
      </c>
      <c r="J5" s="205"/>
      <c r="K5" s="205" t="s">
        <v>16</v>
      </c>
      <c r="L5" s="205" t="s">
        <v>17</v>
      </c>
      <c r="M5" s="205" t="s">
        <v>18</v>
      </c>
      <c r="N5" s="205"/>
      <c r="O5" s="205" t="s">
        <v>19</v>
      </c>
      <c r="P5" s="205" t="s">
        <v>20</v>
      </c>
      <c r="Q5" s="205" t="s">
        <v>21</v>
      </c>
      <c r="R5" s="205" t="s">
        <v>22</v>
      </c>
      <c r="S5" s="205"/>
      <c r="T5" s="205" t="s">
        <v>56</v>
      </c>
      <c r="U5" s="205" t="s">
        <v>23</v>
      </c>
      <c r="V5" s="205" t="s">
        <v>24</v>
      </c>
      <c r="W5" s="205" t="s">
        <v>18</v>
      </c>
      <c r="X5" s="205"/>
      <c r="Y5" s="205"/>
      <c r="Z5" s="205"/>
      <c r="AA5" s="205"/>
      <c r="AB5" s="205"/>
      <c r="AC5" s="205"/>
      <c r="AD5" s="201"/>
      <c r="AE5" s="201"/>
      <c r="AF5" s="201"/>
      <c r="AG5" s="201"/>
      <c r="AH5" s="201"/>
      <c r="AI5" s="201"/>
    </row>
    <row r="6" spans="1:35" s="16" customFormat="1" ht="91.5" customHeight="1" x14ac:dyDescent="0.25">
      <c r="A6" s="201"/>
      <c r="B6" s="201"/>
      <c r="C6" s="201"/>
      <c r="D6" s="201"/>
      <c r="E6" s="205"/>
      <c r="F6" s="205"/>
      <c r="G6" s="205"/>
      <c r="H6" s="205"/>
      <c r="I6" s="2" t="s">
        <v>25</v>
      </c>
      <c r="J6" s="3" t="s">
        <v>26</v>
      </c>
      <c r="K6" s="205"/>
      <c r="L6" s="205"/>
      <c r="M6" s="2" t="s">
        <v>27</v>
      </c>
      <c r="N6" s="3" t="s">
        <v>28</v>
      </c>
      <c r="O6" s="205"/>
      <c r="P6" s="205"/>
      <c r="Q6" s="205"/>
      <c r="R6" s="2" t="s">
        <v>29</v>
      </c>
      <c r="S6" s="3" t="s">
        <v>26</v>
      </c>
      <c r="T6" s="205"/>
      <c r="U6" s="205"/>
      <c r="V6" s="205"/>
      <c r="W6" s="2" t="s">
        <v>27</v>
      </c>
      <c r="X6" s="3" t="s">
        <v>28</v>
      </c>
      <c r="Y6" s="205"/>
      <c r="Z6" s="205"/>
      <c r="AA6" s="205"/>
      <c r="AB6" s="4" t="s">
        <v>25</v>
      </c>
      <c r="AC6" s="4" t="s">
        <v>26</v>
      </c>
      <c r="AD6" s="201"/>
      <c r="AE6" s="201"/>
      <c r="AF6" s="4" t="s">
        <v>30</v>
      </c>
      <c r="AG6" s="4" t="s">
        <v>232</v>
      </c>
      <c r="AH6" s="4" t="s">
        <v>233</v>
      </c>
      <c r="AI6" s="4" t="s">
        <v>31</v>
      </c>
    </row>
    <row r="7" spans="1:35" x14ac:dyDescent="0.25">
      <c r="A7" s="69">
        <v>1</v>
      </c>
      <c r="B7" s="69">
        <v>2</v>
      </c>
      <c r="C7" s="69">
        <v>3</v>
      </c>
      <c r="D7" s="68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  <c r="T7" s="69">
        <v>20</v>
      </c>
      <c r="U7" s="69">
        <v>21</v>
      </c>
      <c r="V7" s="69">
        <v>22</v>
      </c>
      <c r="W7" s="69">
        <v>23</v>
      </c>
      <c r="X7" s="69">
        <v>24</v>
      </c>
      <c r="Y7" s="69">
        <v>25</v>
      </c>
      <c r="Z7" s="69">
        <v>26</v>
      </c>
      <c r="AA7" s="69">
        <v>27</v>
      </c>
      <c r="AB7" s="69">
        <v>28</v>
      </c>
      <c r="AC7" s="69">
        <v>29</v>
      </c>
      <c r="AD7" s="69">
        <v>30</v>
      </c>
      <c r="AE7" s="69">
        <v>31</v>
      </c>
      <c r="AF7" s="69">
        <v>32</v>
      </c>
      <c r="AG7" s="69">
        <v>33</v>
      </c>
      <c r="AH7" s="69">
        <v>34</v>
      </c>
      <c r="AI7" s="5">
        <v>35</v>
      </c>
    </row>
    <row r="8" spans="1:35" s="53" customFormat="1" ht="105" x14ac:dyDescent="0.25">
      <c r="A8" s="35">
        <v>757</v>
      </c>
      <c r="B8" s="58" t="s">
        <v>87</v>
      </c>
      <c r="C8" s="33" t="s">
        <v>227</v>
      </c>
      <c r="D8" s="34">
        <v>2</v>
      </c>
      <c r="E8" s="35" t="s">
        <v>89</v>
      </c>
      <c r="F8" s="36">
        <f>300+322</f>
        <v>622</v>
      </c>
      <c r="G8" s="36">
        <f>300+339</f>
        <v>639</v>
      </c>
      <c r="H8" s="12">
        <f>(G8-F8)/F8*100</f>
        <v>2.7331189710610935</v>
      </c>
      <c r="I8" s="36">
        <v>0</v>
      </c>
      <c r="J8" s="36">
        <v>0</v>
      </c>
      <c r="K8" s="36">
        <f>350+339</f>
        <v>689</v>
      </c>
      <c r="L8" s="183">
        <f>K8/G8*100</f>
        <v>107.82472613458529</v>
      </c>
      <c r="M8" s="36">
        <v>0</v>
      </c>
      <c r="N8" s="36">
        <v>0</v>
      </c>
      <c r="O8" s="182">
        <f>14297580+17125500</f>
        <v>31423080</v>
      </c>
      <c r="P8" s="182">
        <f>11850224.39+19367243.8</f>
        <v>31217468.190000001</v>
      </c>
      <c r="Q8" s="183">
        <f>(P8-O8)/O8*100</f>
        <v>-0.6543337254018341</v>
      </c>
      <c r="R8" s="36">
        <v>0</v>
      </c>
      <c r="S8" s="36">
        <v>0</v>
      </c>
      <c r="T8" s="182">
        <f>11850224.39+19367243.8</f>
        <v>31217468.190000001</v>
      </c>
      <c r="U8" s="182">
        <f>11845587.1+19367243.8</f>
        <v>31212830.899999999</v>
      </c>
      <c r="V8" s="182">
        <f>T8/P8*100</f>
        <v>100</v>
      </c>
      <c r="W8" s="36">
        <v>0</v>
      </c>
      <c r="X8" s="36">
        <v>0</v>
      </c>
      <c r="Y8" s="186">
        <f t="shared" ref="Y8:Z11" si="0">O8/F8</f>
        <v>50519.421221864948</v>
      </c>
      <c r="Z8" s="186">
        <f t="shared" si="0"/>
        <v>48853.627840375586</v>
      </c>
      <c r="AA8" s="187">
        <f>(Z8-Y8)/Y8*100</f>
        <v>-3.2973326716743983</v>
      </c>
      <c r="AB8" s="36">
        <v>0</v>
      </c>
      <c r="AC8" s="36">
        <v>0</v>
      </c>
      <c r="AD8" s="188">
        <f>T8-U8</f>
        <v>4637.2900000028312</v>
      </c>
      <c r="AE8" s="40">
        <v>100</v>
      </c>
      <c r="AF8" s="36" t="s">
        <v>237</v>
      </c>
      <c r="AG8" s="36">
        <v>64</v>
      </c>
      <c r="AH8" s="36">
        <v>64</v>
      </c>
      <c r="AI8" s="38">
        <f>AH8/AG8*100</f>
        <v>100</v>
      </c>
    </row>
    <row r="9" spans="1:35" s="53" customFormat="1" ht="105" x14ac:dyDescent="0.25">
      <c r="A9" s="35">
        <v>757</v>
      </c>
      <c r="B9" s="58" t="s">
        <v>90</v>
      </c>
      <c r="C9" s="33" t="s">
        <v>227</v>
      </c>
      <c r="D9" s="34">
        <v>2</v>
      </c>
      <c r="E9" s="35" t="s">
        <v>89</v>
      </c>
      <c r="F9" s="36">
        <f>1+128</f>
        <v>129</v>
      </c>
      <c r="G9" s="36">
        <f>1+111</f>
        <v>112</v>
      </c>
      <c r="H9" s="12">
        <f t="shared" ref="H9:H16" si="1">(G9-F9)/F9*100</f>
        <v>-13.178294573643413</v>
      </c>
      <c r="I9" s="36">
        <v>0</v>
      </c>
      <c r="J9" s="36">
        <v>1</v>
      </c>
      <c r="K9" s="36">
        <f>1+111</f>
        <v>112</v>
      </c>
      <c r="L9" s="183">
        <f t="shared" ref="L9:L16" si="2">K9/G9*100</f>
        <v>100</v>
      </c>
      <c r="M9" s="36">
        <v>0</v>
      </c>
      <c r="N9" s="36">
        <v>0</v>
      </c>
      <c r="O9" s="182">
        <f>144420+7339500</f>
        <v>7483920</v>
      </c>
      <c r="P9" s="182">
        <f>119699.24+8300247.34</f>
        <v>8419946.5800000001</v>
      </c>
      <c r="Q9" s="183">
        <f t="shared" ref="Q9:Q10" si="3">(P9-O9)/O9*100</f>
        <v>12.507169771991149</v>
      </c>
      <c r="R9" s="36">
        <v>1</v>
      </c>
      <c r="S9" s="36">
        <v>0</v>
      </c>
      <c r="T9" s="182">
        <f>115015.12+8300247.34</f>
        <v>8415262.459999999</v>
      </c>
      <c r="U9" s="182">
        <f>119652.41+8300247.34</f>
        <v>8419899.75</v>
      </c>
      <c r="V9" s="182">
        <f>T9/P9*100</f>
        <v>99.944368768192334</v>
      </c>
      <c r="W9" s="36">
        <v>0</v>
      </c>
      <c r="X9" s="36">
        <v>0</v>
      </c>
      <c r="Y9" s="186">
        <f t="shared" si="0"/>
        <v>58014.883720930229</v>
      </c>
      <c r="Z9" s="186">
        <f t="shared" si="0"/>
        <v>75178.094464285721</v>
      </c>
      <c r="AA9" s="187">
        <f t="shared" ref="AA9:AA13" si="4">(Z9-Y9)/Y9*100</f>
        <v>29.584150898096969</v>
      </c>
      <c r="AB9" s="36">
        <v>1</v>
      </c>
      <c r="AC9" s="36">
        <v>0</v>
      </c>
      <c r="AD9" s="188">
        <f t="shared" ref="AD9:AD13" si="5">T9-U9</f>
        <v>-4637.2900000009686</v>
      </c>
      <c r="AE9" s="40">
        <v>100</v>
      </c>
      <c r="AF9" s="36" t="s">
        <v>238</v>
      </c>
      <c r="AG9" s="36">
        <v>64</v>
      </c>
      <c r="AH9" s="36">
        <v>64</v>
      </c>
      <c r="AI9" s="38">
        <f t="shared" ref="AI9:AI13" si="6">AH9/AG9*100</f>
        <v>100</v>
      </c>
    </row>
    <row r="10" spans="1:35" s="53" customFormat="1" ht="90" x14ac:dyDescent="0.25">
      <c r="A10" s="35">
        <v>757</v>
      </c>
      <c r="B10" s="58" t="s">
        <v>49</v>
      </c>
      <c r="C10" s="33" t="s">
        <v>227</v>
      </c>
      <c r="D10" s="34">
        <v>1</v>
      </c>
      <c r="E10" s="35" t="s">
        <v>73</v>
      </c>
      <c r="F10" s="36">
        <f>479587</f>
        <v>479587</v>
      </c>
      <c r="G10" s="36">
        <f>479587</f>
        <v>479587</v>
      </c>
      <c r="H10" s="12">
        <f t="shared" si="1"/>
        <v>0</v>
      </c>
      <c r="I10" s="36">
        <v>0</v>
      </c>
      <c r="J10" s="36">
        <v>0</v>
      </c>
      <c r="K10" s="36">
        <f>481054</f>
        <v>481054</v>
      </c>
      <c r="L10" s="183">
        <f t="shared" si="2"/>
        <v>100.30588819129792</v>
      </c>
      <c r="M10" s="36">
        <v>0</v>
      </c>
      <c r="N10" s="36">
        <v>0</v>
      </c>
      <c r="O10" s="182">
        <v>28532900</v>
      </c>
      <c r="P10" s="182">
        <f>27113731.86</f>
        <v>27113731.859999999</v>
      </c>
      <c r="Q10" s="183">
        <f t="shared" si="3"/>
        <v>-4.973795653438664</v>
      </c>
      <c r="R10" s="36">
        <v>0</v>
      </c>
      <c r="S10" s="36">
        <v>1</v>
      </c>
      <c r="T10" s="182">
        <f>27113731.86</f>
        <v>27113731.859999999</v>
      </c>
      <c r="U10" s="182">
        <f>27094235.84</f>
        <v>27094235.84</v>
      </c>
      <c r="V10" s="182">
        <f>T10/P10*100</f>
        <v>100</v>
      </c>
      <c r="W10" s="36">
        <v>0</v>
      </c>
      <c r="X10" s="36">
        <v>0</v>
      </c>
      <c r="Y10" s="186">
        <f t="shared" si="0"/>
        <v>59.494731925594316</v>
      </c>
      <c r="Z10" s="186">
        <f t="shared" si="0"/>
        <v>56.535585535054118</v>
      </c>
      <c r="AA10" s="187">
        <f t="shared" si="4"/>
        <v>-4.9737956534386685</v>
      </c>
      <c r="AB10" s="36">
        <v>0</v>
      </c>
      <c r="AC10" s="36">
        <v>1</v>
      </c>
      <c r="AD10" s="188">
        <f t="shared" si="5"/>
        <v>19496.019999999553</v>
      </c>
      <c r="AE10" s="40">
        <v>100</v>
      </c>
      <c r="AF10" s="36" t="s">
        <v>239</v>
      </c>
      <c r="AG10" s="36">
        <v>3.24</v>
      </c>
      <c r="AH10" s="36">
        <v>3.25</v>
      </c>
      <c r="AI10" s="38">
        <f t="shared" si="6"/>
        <v>100.30864197530865</v>
      </c>
    </row>
    <row r="11" spans="1:35" s="53" customFormat="1" ht="27.75" customHeight="1" x14ac:dyDescent="0.25">
      <c r="A11" s="236">
        <v>757</v>
      </c>
      <c r="B11" s="268" t="s">
        <v>57</v>
      </c>
      <c r="C11" s="245" t="s">
        <v>227</v>
      </c>
      <c r="D11" s="248">
        <v>1</v>
      </c>
      <c r="E11" s="35" t="s">
        <v>101</v>
      </c>
      <c r="F11" s="36">
        <v>18300</v>
      </c>
      <c r="G11" s="36">
        <v>18300</v>
      </c>
      <c r="H11" s="12">
        <f t="shared" si="1"/>
        <v>0</v>
      </c>
      <c r="I11" s="36">
        <v>0</v>
      </c>
      <c r="J11" s="36">
        <v>0</v>
      </c>
      <c r="K11" s="36">
        <v>18650</v>
      </c>
      <c r="L11" s="183">
        <f t="shared" si="2"/>
        <v>101.91256830601093</v>
      </c>
      <c r="M11" s="206">
        <v>0</v>
      </c>
      <c r="N11" s="206">
        <v>0</v>
      </c>
      <c r="O11" s="254">
        <v>17095000</v>
      </c>
      <c r="P11" s="254">
        <v>16466981.85</v>
      </c>
      <c r="Q11" s="251">
        <f>(P11-O11)/O11*100</f>
        <v>-3.6736949400409493</v>
      </c>
      <c r="R11" s="206">
        <v>0</v>
      </c>
      <c r="S11" s="206">
        <v>0</v>
      </c>
      <c r="T11" s="254">
        <v>16466981.85</v>
      </c>
      <c r="U11" s="254">
        <v>16452203.02</v>
      </c>
      <c r="V11" s="254">
        <f t="shared" ref="V11:V13" si="7">T11/P11*100</f>
        <v>100</v>
      </c>
      <c r="W11" s="206">
        <v>0</v>
      </c>
      <c r="X11" s="206">
        <v>0</v>
      </c>
      <c r="Y11" s="263">
        <f t="shared" si="0"/>
        <v>934.15300546448088</v>
      </c>
      <c r="Z11" s="263">
        <f t="shared" si="0"/>
        <v>899.83507377049182</v>
      </c>
      <c r="AA11" s="257">
        <f t="shared" si="4"/>
        <v>-3.6736949400409475</v>
      </c>
      <c r="AB11" s="206">
        <v>0</v>
      </c>
      <c r="AC11" s="206">
        <v>0</v>
      </c>
      <c r="AD11" s="242">
        <f t="shared" si="5"/>
        <v>14778.830000000075</v>
      </c>
      <c r="AE11" s="212">
        <v>100</v>
      </c>
      <c r="AF11" s="206" t="s">
        <v>240</v>
      </c>
      <c r="AG11" s="206">
        <v>0.05</v>
      </c>
      <c r="AH11" s="206">
        <v>7.0000000000000007E-2</v>
      </c>
      <c r="AI11" s="260">
        <f t="shared" si="6"/>
        <v>140</v>
      </c>
    </row>
    <row r="12" spans="1:35" s="53" customFormat="1" ht="27.75" customHeight="1" x14ac:dyDescent="0.25">
      <c r="A12" s="238"/>
      <c r="B12" s="269"/>
      <c r="C12" s="247"/>
      <c r="D12" s="250"/>
      <c r="E12" s="35" t="s">
        <v>73</v>
      </c>
      <c r="F12" s="36">
        <v>325</v>
      </c>
      <c r="G12" s="36">
        <v>325</v>
      </c>
      <c r="H12" s="12">
        <f t="shared" si="1"/>
        <v>0</v>
      </c>
      <c r="I12" s="36">
        <v>0</v>
      </c>
      <c r="J12" s="36">
        <v>0</v>
      </c>
      <c r="K12" s="36">
        <v>276</v>
      </c>
      <c r="L12" s="183">
        <f t="shared" si="2"/>
        <v>84.92307692307692</v>
      </c>
      <c r="M12" s="208"/>
      <c r="N12" s="208"/>
      <c r="O12" s="256"/>
      <c r="P12" s="256"/>
      <c r="Q12" s="253"/>
      <c r="R12" s="208"/>
      <c r="S12" s="208"/>
      <c r="T12" s="256"/>
      <c r="U12" s="256"/>
      <c r="V12" s="256"/>
      <c r="W12" s="208"/>
      <c r="X12" s="208"/>
      <c r="Y12" s="265"/>
      <c r="Z12" s="265"/>
      <c r="AA12" s="259"/>
      <c r="AB12" s="208"/>
      <c r="AC12" s="208"/>
      <c r="AD12" s="244"/>
      <c r="AE12" s="214"/>
      <c r="AF12" s="208"/>
      <c r="AG12" s="208"/>
      <c r="AH12" s="208"/>
      <c r="AI12" s="262"/>
    </row>
    <row r="13" spans="1:35" s="53" customFormat="1" ht="30" customHeight="1" x14ac:dyDescent="0.25">
      <c r="A13" s="236">
        <v>757</v>
      </c>
      <c r="B13" s="268" t="s">
        <v>96</v>
      </c>
      <c r="C13" s="245" t="s">
        <v>227</v>
      </c>
      <c r="D13" s="248">
        <v>1</v>
      </c>
      <c r="E13" s="35" t="s">
        <v>220</v>
      </c>
      <c r="F13" s="36">
        <v>780</v>
      </c>
      <c r="G13" s="36">
        <v>780</v>
      </c>
      <c r="H13" s="12">
        <f t="shared" si="1"/>
        <v>0</v>
      </c>
      <c r="I13" s="36">
        <v>0</v>
      </c>
      <c r="J13" s="36">
        <v>0</v>
      </c>
      <c r="K13" s="36">
        <v>585</v>
      </c>
      <c r="L13" s="183">
        <f t="shared" si="2"/>
        <v>75</v>
      </c>
      <c r="M13" s="206">
        <v>0</v>
      </c>
      <c r="N13" s="206">
        <v>1</v>
      </c>
      <c r="O13" s="254">
        <v>7809000</v>
      </c>
      <c r="P13" s="254">
        <v>7541524.3799999999</v>
      </c>
      <c r="Q13" s="251">
        <f>(P13-O13)/O13*100</f>
        <v>-3.4252224356511736</v>
      </c>
      <c r="R13" s="206">
        <v>0</v>
      </c>
      <c r="S13" s="206">
        <v>0</v>
      </c>
      <c r="T13" s="254">
        <v>7535476.8600000003</v>
      </c>
      <c r="U13" s="254">
        <v>7520476.8600000003</v>
      </c>
      <c r="V13" s="254">
        <f t="shared" si="7"/>
        <v>99.919810376585971</v>
      </c>
      <c r="W13" s="206">
        <v>0</v>
      </c>
      <c r="X13" s="206">
        <v>0</v>
      </c>
      <c r="Y13" s="263">
        <f>O13/297347</f>
        <v>26.262245793635046</v>
      </c>
      <c r="Z13" s="263">
        <f>P13/297347</f>
        <v>25.362705458605603</v>
      </c>
      <c r="AA13" s="257">
        <f t="shared" si="4"/>
        <v>-3.4252224356511665</v>
      </c>
      <c r="AB13" s="206">
        <v>0</v>
      </c>
      <c r="AC13" s="206">
        <v>0</v>
      </c>
      <c r="AD13" s="242">
        <f t="shared" si="5"/>
        <v>15000</v>
      </c>
      <c r="AE13" s="212">
        <v>100</v>
      </c>
      <c r="AF13" s="206" t="s">
        <v>241</v>
      </c>
      <c r="AG13" s="206">
        <v>284783</v>
      </c>
      <c r="AH13" s="206">
        <v>213587</v>
      </c>
      <c r="AI13" s="260">
        <f t="shared" si="6"/>
        <v>74.99991221386108</v>
      </c>
    </row>
    <row r="14" spans="1:35" s="53" customFormat="1" x14ac:dyDescent="0.25">
      <c r="A14" s="237"/>
      <c r="B14" s="270"/>
      <c r="C14" s="246"/>
      <c r="D14" s="249"/>
      <c r="E14" s="35" t="s">
        <v>101</v>
      </c>
      <c r="F14" s="36">
        <v>284783</v>
      </c>
      <c r="G14" s="36">
        <v>284783</v>
      </c>
      <c r="H14" s="12">
        <f t="shared" si="1"/>
        <v>0</v>
      </c>
      <c r="I14" s="36">
        <v>0</v>
      </c>
      <c r="J14" s="36">
        <v>0</v>
      </c>
      <c r="K14" s="36">
        <v>213587</v>
      </c>
      <c r="L14" s="183">
        <f t="shared" si="2"/>
        <v>74.99991221386108</v>
      </c>
      <c r="M14" s="207"/>
      <c r="N14" s="207"/>
      <c r="O14" s="255"/>
      <c r="P14" s="255"/>
      <c r="Q14" s="252"/>
      <c r="R14" s="207"/>
      <c r="S14" s="207"/>
      <c r="T14" s="255"/>
      <c r="U14" s="255"/>
      <c r="V14" s="255"/>
      <c r="W14" s="207"/>
      <c r="X14" s="207"/>
      <c r="Y14" s="264"/>
      <c r="Z14" s="264"/>
      <c r="AA14" s="258"/>
      <c r="AB14" s="207"/>
      <c r="AC14" s="207"/>
      <c r="AD14" s="243"/>
      <c r="AE14" s="213"/>
      <c r="AF14" s="207"/>
      <c r="AG14" s="207"/>
      <c r="AH14" s="207"/>
      <c r="AI14" s="261"/>
    </row>
    <row r="15" spans="1:35" s="53" customFormat="1" x14ac:dyDescent="0.25">
      <c r="A15" s="237"/>
      <c r="B15" s="270"/>
      <c r="C15" s="246"/>
      <c r="D15" s="249"/>
      <c r="E15" s="35" t="s">
        <v>221</v>
      </c>
      <c r="F15" s="36">
        <v>8400</v>
      </c>
      <c r="G15" s="36">
        <v>8400</v>
      </c>
      <c r="H15" s="12">
        <f t="shared" si="1"/>
        <v>0</v>
      </c>
      <c r="I15" s="36">
        <v>0</v>
      </c>
      <c r="J15" s="36">
        <v>0</v>
      </c>
      <c r="K15" s="36">
        <v>2638</v>
      </c>
      <c r="L15" s="183">
        <f t="shared" si="2"/>
        <v>31.404761904761902</v>
      </c>
      <c r="M15" s="207"/>
      <c r="N15" s="207"/>
      <c r="O15" s="255"/>
      <c r="P15" s="255"/>
      <c r="Q15" s="252"/>
      <c r="R15" s="207"/>
      <c r="S15" s="207"/>
      <c r="T15" s="255"/>
      <c r="U15" s="255"/>
      <c r="V15" s="255"/>
      <c r="W15" s="207"/>
      <c r="X15" s="207"/>
      <c r="Y15" s="264"/>
      <c r="Z15" s="264"/>
      <c r="AA15" s="258"/>
      <c r="AB15" s="207"/>
      <c r="AC15" s="207"/>
      <c r="AD15" s="243"/>
      <c r="AE15" s="213"/>
      <c r="AF15" s="207"/>
      <c r="AG15" s="207"/>
      <c r="AH15" s="207"/>
      <c r="AI15" s="261"/>
    </row>
    <row r="16" spans="1:35" s="53" customFormat="1" x14ac:dyDescent="0.25">
      <c r="A16" s="238"/>
      <c r="B16" s="269"/>
      <c r="C16" s="247"/>
      <c r="D16" s="250"/>
      <c r="E16" s="35" t="s">
        <v>73</v>
      </c>
      <c r="F16" s="36">
        <v>3384</v>
      </c>
      <c r="G16" s="36">
        <v>3384</v>
      </c>
      <c r="H16" s="12">
        <f t="shared" si="1"/>
        <v>0</v>
      </c>
      <c r="I16" s="36">
        <v>0</v>
      </c>
      <c r="J16" s="36">
        <v>0</v>
      </c>
      <c r="K16" s="36">
        <v>2538</v>
      </c>
      <c r="L16" s="183">
        <f t="shared" si="2"/>
        <v>75</v>
      </c>
      <c r="M16" s="208"/>
      <c r="N16" s="208"/>
      <c r="O16" s="256"/>
      <c r="P16" s="256"/>
      <c r="Q16" s="253"/>
      <c r="R16" s="208"/>
      <c r="S16" s="208"/>
      <c r="T16" s="256"/>
      <c r="U16" s="256"/>
      <c r="V16" s="256"/>
      <c r="W16" s="208"/>
      <c r="X16" s="208"/>
      <c r="Y16" s="265"/>
      <c r="Z16" s="265"/>
      <c r="AA16" s="259"/>
      <c r="AB16" s="208"/>
      <c r="AC16" s="208"/>
      <c r="AD16" s="244"/>
      <c r="AE16" s="214"/>
      <c r="AF16" s="208"/>
      <c r="AG16" s="208"/>
      <c r="AH16" s="208"/>
      <c r="AI16" s="262"/>
    </row>
    <row r="17" spans="1:35" s="61" customFormat="1" x14ac:dyDescent="0.25">
      <c r="A17" s="26"/>
      <c r="B17" s="48" t="s">
        <v>33</v>
      </c>
      <c r="C17" s="28"/>
      <c r="D17" s="29"/>
      <c r="E17" s="30"/>
      <c r="F17" s="30"/>
      <c r="G17" s="30"/>
      <c r="H17" s="42"/>
      <c r="I17" s="30"/>
      <c r="J17" s="30"/>
      <c r="K17" s="30"/>
      <c r="L17" s="42"/>
      <c r="M17" s="30"/>
      <c r="N17" s="30"/>
      <c r="O17" s="184">
        <f>SUM(O8:O16)</f>
        <v>92343900</v>
      </c>
      <c r="P17" s="184">
        <f>SUM(P8:P16)</f>
        <v>90759652.859999999</v>
      </c>
      <c r="Q17" s="184">
        <f>(P17-O17)/O17*100</f>
        <v>-1.7155947929424691</v>
      </c>
      <c r="R17" s="30"/>
      <c r="S17" s="30"/>
      <c r="T17" s="184">
        <f t="shared" ref="T17:U17" si="8">SUM(T8:T16)</f>
        <v>90748921.219999999</v>
      </c>
      <c r="U17" s="184">
        <f t="shared" si="8"/>
        <v>90699646.36999999</v>
      </c>
      <c r="V17" s="184">
        <f>U17/P17*100</f>
        <v>99.933884178586965</v>
      </c>
      <c r="W17" s="30"/>
      <c r="X17" s="30"/>
      <c r="Y17" s="43"/>
      <c r="Z17" s="43"/>
      <c r="AA17" s="30"/>
      <c r="AB17" s="30"/>
      <c r="AC17" s="30"/>
      <c r="AD17" s="189">
        <f>T17-U17</f>
        <v>49274.850000008941</v>
      </c>
      <c r="AE17" s="43"/>
      <c r="AF17" s="59"/>
      <c r="AG17" s="31"/>
      <c r="AH17" s="59"/>
      <c r="AI17" s="70"/>
    </row>
    <row r="18" spans="1:35" s="61" customFormat="1" ht="32.25" customHeight="1" x14ac:dyDescent="0.25">
      <c r="A18" s="26"/>
      <c r="B18" s="48" t="s">
        <v>34</v>
      </c>
      <c r="C18" s="30"/>
      <c r="D18" s="30"/>
      <c r="E18" s="30"/>
      <c r="F18" s="44"/>
      <c r="G18" s="44"/>
      <c r="H18" s="44"/>
      <c r="I18" s="44"/>
      <c r="J18" s="44"/>
      <c r="K18" s="44"/>
      <c r="L18" s="44"/>
      <c r="M18" s="44"/>
      <c r="N18" s="44"/>
      <c r="O18" s="185">
        <f>SUM(O17:O17)</f>
        <v>92343900</v>
      </c>
      <c r="P18" s="185">
        <f>SUM(P17:P17)</f>
        <v>90759652.859999999</v>
      </c>
      <c r="Q18" s="184">
        <f>(P18-O18)/O18*100</f>
        <v>-1.7155947929424691</v>
      </c>
      <c r="R18" s="46"/>
      <c r="S18" s="46"/>
      <c r="T18" s="185">
        <f t="shared" ref="T18:U18" si="9">SUM(T17:T17)</f>
        <v>90748921.219999999</v>
      </c>
      <c r="U18" s="185">
        <f t="shared" si="9"/>
        <v>90699646.36999999</v>
      </c>
      <c r="V18" s="185">
        <f>U18/P18*100</f>
        <v>99.933884178586965</v>
      </c>
      <c r="W18" s="46"/>
      <c r="X18" s="46"/>
      <c r="Y18" s="45"/>
      <c r="Z18" s="45"/>
      <c r="AA18" s="46"/>
      <c r="AB18" s="46"/>
      <c r="AC18" s="46"/>
      <c r="AD18" s="185">
        <f>SUM(AD17:AD17)</f>
        <v>49274.850000008941</v>
      </c>
      <c r="AE18" s="45"/>
      <c r="AF18" s="47"/>
      <c r="AG18" s="47"/>
      <c r="AH18" s="47"/>
      <c r="AI18" s="43"/>
    </row>
    <row r="19" spans="1:35" s="16" customFormat="1" x14ac:dyDescent="0.25">
      <c r="A19" s="52"/>
      <c r="D19" s="23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4"/>
      <c r="S19" s="24"/>
      <c r="T19" s="19"/>
      <c r="U19" s="19"/>
      <c r="V19" s="19"/>
      <c r="W19" s="19"/>
      <c r="X19" s="19"/>
      <c r="Y19" s="18"/>
      <c r="Z19" s="18"/>
      <c r="AA19" s="19"/>
      <c r="AB19" s="19"/>
      <c r="AC19" s="19"/>
      <c r="AD19" s="19"/>
      <c r="AE19" s="19"/>
      <c r="AF19" s="19"/>
    </row>
    <row r="20" spans="1:35" s="16" customFormat="1" x14ac:dyDescent="0.25">
      <c r="A20" s="52"/>
      <c r="D20" s="23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4"/>
      <c r="S20" s="24"/>
      <c r="T20" s="19"/>
      <c r="U20" s="19"/>
      <c r="V20" s="19"/>
      <c r="W20" s="19"/>
      <c r="X20" s="19"/>
      <c r="Y20" s="18"/>
      <c r="Z20" s="18"/>
      <c r="AA20" s="19"/>
      <c r="AB20" s="19"/>
      <c r="AC20" s="19"/>
      <c r="AD20" s="19"/>
      <c r="AE20" s="19"/>
      <c r="AF20" s="19"/>
    </row>
    <row r="21" spans="1:35" s="16" customFormat="1" x14ac:dyDescent="0.25">
      <c r="A21" s="52"/>
      <c r="D21" s="23"/>
      <c r="E21" s="17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4"/>
      <c r="S21" s="24"/>
      <c r="T21" s="19"/>
      <c r="U21" s="19"/>
      <c r="V21" s="19"/>
      <c r="W21" s="19"/>
      <c r="X21" s="19"/>
      <c r="Y21" s="18"/>
      <c r="Z21" s="18"/>
      <c r="AA21" s="19"/>
      <c r="AB21" s="19"/>
      <c r="AC21" s="19"/>
      <c r="AD21" s="19"/>
      <c r="AE21" s="19"/>
      <c r="AF21" s="19"/>
    </row>
    <row r="22" spans="1:35" s="16" customFormat="1" x14ac:dyDescent="0.25">
      <c r="A22" s="52"/>
      <c r="D22" s="23"/>
      <c r="E22" s="17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4"/>
      <c r="S22" s="24"/>
      <c r="T22" s="19"/>
      <c r="U22" s="19"/>
      <c r="V22" s="19"/>
      <c r="W22" s="19"/>
      <c r="X22" s="19"/>
      <c r="Y22" s="18"/>
      <c r="Z22" s="18"/>
      <c r="AA22" s="19"/>
      <c r="AB22" s="19"/>
      <c r="AC22" s="19"/>
      <c r="AD22" s="19"/>
      <c r="AE22" s="19"/>
      <c r="AF22" s="19"/>
    </row>
    <row r="23" spans="1:35" s="16" customFormat="1" x14ac:dyDescent="0.25">
      <c r="A23" s="52"/>
      <c r="D23" s="23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4"/>
      <c r="S23" s="24"/>
      <c r="T23" s="19"/>
      <c r="U23" s="19"/>
      <c r="V23" s="19"/>
      <c r="W23" s="19"/>
      <c r="X23" s="19"/>
      <c r="Y23" s="18"/>
      <c r="Z23" s="18"/>
      <c r="AA23" s="19"/>
      <c r="AB23" s="19"/>
      <c r="AC23" s="19"/>
      <c r="AD23" s="19"/>
      <c r="AE23" s="19"/>
      <c r="AF23" s="19"/>
    </row>
    <row r="24" spans="1:35" s="16" customFormat="1" ht="36" customHeight="1" x14ac:dyDescent="0.25">
      <c r="A24" s="196" t="s">
        <v>50</v>
      </c>
      <c r="B24" s="196"/>
      <c r="D24" s="165"/>
      <c r="E24" s="19"/>
      <c r="F24" s="198" t="s">
        <v>53</v>
      </c>
      <c r="G24" s="19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4"/>
      <c r="W24" s="19"/>
      <c r="X24" s="19"/>
      <c r="Y24" s="18"/>
      <c r="Z24" s="18"/>
      <c r="AA24" s="19"/>
      <c r="AB24" s="19"/>
      <c r="AC24" s="19"/>
      <c r="AD24" s="19"/>
      <c r="AE24" s="19"/>
      <c r="AF24" s="19"/>
    </row>
    <row r="25" spans="1:35" s="16" customFormat="1" x14ac:dyDescent="0.25">
      <c r="A25" s="52"/>
      <c r="D25" s="23" t="s">
        <v>52</v>
      </c>
      <c r="E25" s="19"/>
      <c r="F25" s="199" t="s">
        <v>54</v>
      </c>
      <c r="G25" s="19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4"/>
      <c r="W25" s="19"/>
      <c r="X25" s="19"/>
      <c r="Y25" s="18"/>
      <c r="Z25" s="18"/>
      <c r="AA25" s="19"/>
      <c r="AB25" s="19"/>
      <c r="AC25" s="19"/>
      <c r="AD25" s="19"/>
      <c r="AE25" s="19"/>
      <c r="AF25" s="19"/>
    </row>
    <row r="26" spans="1:35" s="16" customFormat="1" x14ac:dyDescent="0.25">
      <c r="A26" s="52"/>
      <c r="D26" s="23"/>
      <c r="E26" s="17"/>
      <c r="R26" s="25"/>
      <c r="S26" s="25"/>
      <c r="Y26" s="20"/>
      <c r="Z26" s="20"/>
    </row>
    <row r="27" spans="1:35" s="16" customFormat="1" x14ac:dyDescent="0.25">
      <c r="A27" s="197" t="s">
        <v>223</v>
      </c>
      <c r="B27" s="197"/>
      <c r="C27" s="197"/>
      <c r="D27" s="197"/>
      <c r="E27" s="197"/>
      <c r="F27" s="197"/>
      <c r="R27" s="25"/>
      <c r="S27" s="25"/>
      <c r="Y27" s="20"/>
      <c r="Z27" s="20"/>
    </row>
    <row r="28" spans="1:35" s="16" customFormat="1" x14ac:dyDescent="0.25">
      <c r="A28" s="166"/>
      <c r="B28" s="166"/>
      <c r="C28" s="166"/>
      <c r="D28" s="167"/>
      <c r="E28" s="167"/>
      <c r="F28" s="167"/>
      <c r="R28" s="25"/>
      <c r="S28" s="25"/>
      <c r="Y28" s="20"/>
      <c r="Z28" s="20"/>
    </row>
    <row r="29" spans="1:35" s="16" customFormat="1" x14ac:dyDescent="0.25">
      <c r="A29" s="197" t="s">
        <v>51</v>
      </c>
      <c r="B29" s="197"/>
      <c r="C29" s="197"/>
      <c r="D29" s="197"/>
      <c r="E29" s="197"/>
      <c r="F29" s="167"/>
      <c r="R29" s="25"/>
      <c r="S29" s="25"/>
      <c r="Y29" s="20"/>
      <c r="Z29" s="20"/>
    </row>
    <row r="30" spans="1:35" x14ac:dyDescent="0.25">
      <c r="A30" s="52"/>
    </row>
    <row r="31" spans="1:35" x14ac:dyDescent="0.25">
      <c r="A31" s="52"/>
    </row>
    <row r="32" spans="1:35" x14ac:dyDescent="0.25">
      <c r="A32" s="52"/>
    </row>
    <row r="33" spans="1:1" x14ac:dyDescent="0.25">
      <c r="A33" s="52"/>
    </row>
    <row r="34" spans="1:1" x14ac:dyDescent="0.25">
      <c r="A34" s="52"/>
    </row>
    <row r="35" spans="1:1" x14ac:dyDescent="0.25">
      <c r="A35" s="52"/>
    </row>
    <row r="36" spans="1:1" x14ac:dyDescent="0.25">
      <c r="A36" s="52"/>
    </row>
    <row r="37" spans="1:1" x14ac:dyDescent="0.25">
      <c r="A37" s="52"/>
    </row>
    <row r="38" spans="1:1" x14ac:dyDescent="0.25">
      <c r="A38" s="52"/>
    </row>
    <row r="39" spans="1:1" x14ac:dyDescent="0.25">
      <c r="A39" s="52"/>
    </row>
    <row r="40" spans="1:1" x14ac:dyDescent="0.25">
      <c r="A40" s="52"/>
    </row>
    <row r="41" spans="1:1" x14ac:dyDescent="0.25">
      <c r="A41" s="52"/>
    </row>
    <row r="42" spans="1:1" x14ac:dyDescent="0.25">
      <c r="A42" s="52"/>
    </row>
    <row r="43" spans="1:1" x14ac:dyDescent="0.25">
      <c r="A43" s="52"/>
    </row>
    <row r="44" spans="1:1" x14ac:dyDescent="0.25">
      <c r="A44" s="52"/>
    </row>
    <row r="45" spans="1:1" x14ac:dyDescent="0.25">
      <c r="A45" s="52"/>
    </row>
    <row r="46" spans="1:1" x14ac:dyDescent="0.25">
      <c r="A46" s="52"/>
    </row>
    <row r="47" spans="1:1" x14ac:dyDescent="0.25">
      <c r="A47" s="52"/>
    </row>
    <row r="48" spans="1:1" x14ac:dyDescent="0.25">
      <c r="A48" s="52"/>
    </row>
    <row r="49" spans="1:1" x14ac:dyDescent="0.25">
      <c r="A49" s="52"/>
    </row>
    <row r="50" spans="1:1" x14ac:dyDescent="0.25">
      <c r="A50" s="52"/>
    </row>
    <row r="51" spans="1:1" x14ac:dyDescent="0.25">
      <c r="A51" s="52"/>
    </row>
    <row r="52" spans="1:1" x14ac:dyDescent="0.25">
      <c r="A52" s="52"/>
    </row>
    <row r="53" spans="1:1" x14ac:dyDescent="0.25">
      <c r="A53" s="52"/>
    </row>
    <row r="54" spans="1:1" x14ac:dyDescent="0.25">
      <c r="A54" s="52"/>
    </row>
    <row r="55" spans="1:1" x14ac:dyDescent="0.25">
      <c r="A55" s="52"/>
    </row>
    <row r="56" spans="1:1" x14ac:dyDescent="0.25">
      <c r="A56" s="52"/>
    </row>
    <row r="57" spans="1:1" x14ac:dyDescent="0.25">
      <c r="A57" s="52"/>
    </row>
    <row r="58" spans="1:1" x14ac:dyDescent="0.25">
      <c r="A58" s="52"/>
    </row>
    <row r="59" spans="1:1" x14ac:dyDescent="0.25">
      <c r="A59" s="52"/>
    </row>
    <row r="60" spans="1:1" x14ac:dyDescent="0.25">
      <c r="A60" s="52"/>
    </row>
    <row r="61" spans="1:1" x14ac:dyDescent="0.25">
      <c r="A61" s="52"/>
    </row>
    <row r="62" spans="1:1" x14ac:dyDescent="0.25">
      <c r="A62" s="52"/>
    </row>
    <row r="63" spans="1:1" x14ac:dyDescent="0.25">
      <c r="A63" s="52"/>
    </row>
    <row r="64" spans="1:1" x14ac:dyDescent="0.25">
      <c r="A64" s="52"/>
    </row>
    <row r="65" spans="1:1" x14ac:dyDescent="0.25">
      <c r="A65" s="52"/>
    </row>
    <row r="66" spans="1:1" x14ac:dyDescent="0.25">
      <c r="A66" s="52"/>
    </row>
    <row r="67" spans="1:1" x14ac:dyDescent="0.25">
      <c r="A67" s="52"/>
    </row>
    <row r="68" spans="1:1" x14ac:dyDescent="0.25">
      <c r="A68" s="52"/>
    </row>
    <row r="69" spans="1:1" x14ac:dyDescent="0.25">
      <c r="A69" s="52"/>
    </row>
    <row r="70" spans="1:1" x14ac:dyDescent="0.25">
      <c r="A70" s="52"/>
    </row>
    <row r="71" spans="1:1" x14ac:dyDescent="0.25">
      <c r="A71" s="52"/>
    </row>
    <row r="72" spans="1:1" x14ac:dyDescent="0.25">
      <c r="A72" s="52"/>
    </row>
    <row r="73" spans="1:1" x14ac:dyDescent="0.25">
      <c r="A73" s="52"/>
    </row>
    <row r="74" spans="1:1" x14ac:dyDescent="0.25">
      <c r="A74" s="52"/>
    </row>
    <row r="75" spans="1:1" x14ac:dyDescent="0.25">
      <c r="A75" s="52"/>
    </row>
    <row r="76" spans="1:1" x14ac:dyDescent="0.25">
      <c r="A76" s="52"/>
    </row>
    <row r="77" spans="1:1" x14ac:dyDescent="0.25">
      <c r="A77" s="52"/>
    </row>
    <row r="78" spans="1:1" x14ac:dyDescent="0.25">
      <c r="A78" s="52"/>
    </row>
    <row r="79" spans="1:1" x14ac:dyDescent="0.25">
      <c r="A79" s="52"/>
    </row>
    <row r="80" spans="1:1" x14ac:dyDescent="0.25">
      <c r="A80" s="52"/>
    </row>
    <row r="81" spans="1:1" x14ac:dyDescent="0.25">
      <c r="A81" s="52"/>
    </row>
    <row r="82" spans="1:1" x14ac:dyDescent="0.25">
      <c r="A82" s="52"/>
    </row>
    <row r="83" spans="1:1" x14ac:dyDescent="0.25">
      <c r="A83" s="52"/>
    </row>
    <row r="84" spans="1:1" x14ac:dyDescent="0.25">
      <c r="A84" s="52"/>
    </row>
    <row r="85" spans="1:1" x14ac:dyDescent="0.25">
      <c r="A85" s="52"/>
    </row>
    <row r="86" spans="1:1" x14ac:dyDescent="0.25">
      <c r="A86" s="52"/>
    </row>
    <row r="87" spans="1:1" x14ac:dyDescent="0.25">
      <c r="A87" s="52"/>
    </row>
    <row r="88" spans="1:1" x14ac:dyDescent="0.25">
      <c r="A88" s="52"/>
    </row>
    <row r="89" spans="1:1" x14ac:dyDescent="0.25">
      <c r="A89" s="52"/>
    </row>
    <row r="90" spans="1:1" x14ac:dyDescent="0.25">
      <c r="A90" s="52"/>
    </row>
    <row r="91" spans="1:1" x14ac:dyDescent="0.25">
      <c r="A91" s="52"/>
    </row>
    <row r="92" spans="1:1" x14ac:dyDescent="0.25">
      <c r="A92" s="52"/>
    </row>
    <row r="93" spans="1:1" x14ac:dyDescent="0.25">
      <c r="A93" s="52"/>
    </row>
    <row r="94" spans="1:1" x14ac:dyDescent="0.25">
      <c r="A94" s="52"/>
    </row>
    <row r="95" spans="1:1" x14ac:dyDescent="0.25">
      <c r="A95" s="52"/>
    </row>
    <row r="96" spans="1:1" x14ac:dyDescent="0.25">
      <c r="A96" s="52"/>
    </row>
    <row r="97" spans="1:1" x14ac:dyDescent="0.25">
      <c r="A97" s="52"/>
    </row>
    <row r="98" spans="1:1" x14ac:dyDescent="0.25">
      <c r="A98" s="52"/>
    </row>
    <row r="99" spans="1:1" x14ac:dyDescent="0.25">
      <c r="A99" s="52"/>
    </row>
    <row r="100" spans="1:1" x14ac:dyDescent="0.25">
      <c r="A100" s="52"/>
    </row>
    <row r="101" spans="1:1" x14ac:dyDescent="0.25">
      <c r="A101" s="52"/>
    </row>
    <row r="102" spans="1:1" x14ac:dyDescent="0.25">
      <c r="A102" s="52"/>
    </row>
    <row r="103" spans="1:1" x14ac:dyDescent="0.25">
      <c r="A103" s="52"/>
    </row>
    <row r="104" spans="1:1" x14ac:dyDescent="0.25">
      <c r="A104" s="52"/>
    </row>
    <row r="105" spans="1:1" x14ac:dyDescent="0.25">
      <c r="A105" s="52"/>
    </row>
    <row r="106" spans="1:1" x14ac:dyDescent="0.25">
      <c r="A106" s="52"/>
    </row>
    <row r="107" spans="1:1" x14ac:dyDescent="0.25">
      <c r="A107" s="52"/>
    </row>
    <row r="108" spans="1:1" x14ac:dyDescent="0.25">
      <c r="A108" s="52"/>
    </row>
    <row r="109" spans="1:1" x14ac:dyDescent="0.25">
      <c r="A109" s="52"/>
    </row>
  </sheetData>
  <mergeCells count="91">
    <mergeCell ref="B11:B12"/>
    <mergeCell ref="A11:A12"/>
    <mergeCell ref="C11:C12"/>
    <mergeCell ref="D11:D12"/>
    <mergeCell ref="A13:A16"/>
    <mergeCell ref="B13:B16"/>
    <mergeCell ref="C13:C16"/>
    <mergeCell ref="D13:D16"/>
    <mergeCell ref="W5:X5"/>
    <mergeCell ref="Q5:Q6"/>
    <mergeCell ref="R5:S5"/>
    <mergeCell ref="T5:T6"/>
    <mergeCell ref="U5:U6"/>
    <mergeCell ref="V5:V6"/>
    <mergeCell ref="K5:K6"/>
    <mergeCell ref="L5:L6"/>
    <mergeCell ref="M5:N5"/>
    <mergeCell ref="O5:O6"/>
    <mergeCell ref="P5:P6"/>
    <mergeCell ref="E5:E6"/>
    <mergeCell ref="F5:F6"/>
    <mergeCell ref="G5:G6"/>
    <mergeCell ref="H5:H6"/>
    <mergeCell ref="I5:J5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A24:B24"/>
    <mergeCell ref="A27:F27"/>
    <mergeCell ref="A29:E29"/>
    <mergeCell ref="F24:G24"/>
    <mergeCell ref="F25:G25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W13:W16"/>
    <mergeCell ref="X13:X16"/>
    <mergeCell ref="Y13:Y16"/>
    <mergeCell ref="Z13:Z16"/>
    <mergeCell ref="AA13:AA16"/>
    <mergeCell ref="R13:R16"/>
    <mergeCell ref="S13:S16"/>
    <mergeCell ref="T13:T16"/>
    <mergeCell ref="U13:U16"/>
    <mergeCell ref="V13:V16"/>
    <mergeCell ref="AG13:AG16"/>
    <mergeCell ref="AH13:AH16"/>
    <mergeCell ref="AI13:AI16"/>
    <mergeCell ref="M11:M12"/>
    <mergeCell ref="N11:N12"/>
    <mergeCell ref="AB13:AB16"/>
    <mergeCell ref="AC13:AC16"/>
    <mergeCell ref="AD13:AD16"/>
    <mergeCell ref="AE13:AE16"/>
    <mergeCell ref="AF13:AF16"/>
    <mergeCell ref="AI11:AI12"/>
    <mergeCell ref="M13:M16"/>
    <mergeCell ref="N13:N16"/>
    <mergeCell ref="O13:O16"/>
    <mergeCell ref="P13:P16"/>
    <mergeCell ref="Q13:Q16"/>
  </mergeCells>
  <printOptions horizontalCentered="1"/>
  <pageMargins left="0.196527777777778" right="0.196527777777778" top="0.94513888888888897" bottom="0.15763888888888899" header="0.31527777777777799" footer="0.51180555555555496"/>
  <pageSetup paperSize="9" scale="38" firstPageNumber="0" fitToHeight="0" orientation="landscape" r:id="rId1"/>
  <headerFooter>
    <oddHeader>&amp;R&amp;"Times New Roman,Обычный"&amp;14&amp;P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DDC"/>
    <pageSetUpPr fitToPage="1"/>
  </sheetPr>
  <dimension ref="A1:AI32"/>
  <sheetViews>
    <sheetView view="pageBreakPreview" zoomScale="70" zoomScaleNormal="70" zoomScaleSheetLayoutView="70" zoomScalePageLayoutView="85" workbookViewId="0">
      <pane xSplit="2" ySplit="7" topLeftCell="G8" activePane="bottomRight" state="frozen"/>
      <selection pane="topRight" activeCell="C1" sqref="C1"/>
      <selection pane="bottomLeft" activeCell="A7" sqref="A7"/>
      <selection pane="bottomRight" activeCell="T13" sqref="T13"/>
    </sheetView>
  </sheetViews>
  <sheetFormatPr defaultRowHeight="15" x14ac:dyDescent="0.25"/>
  <cols>
    <col min="1" max="1" width="14" style="1" customWidth="1"/>
    <col min="2" max="2" width="20" style="52" customWidth="1"/>
    <col min="3" max="3" width="15.5703125" style="52" customWidth="1"/>
    <col min="4" max="4" width="9.5703125" style="23" customWidth="1"/>
    <col min="5" max="5" width="10.85546875" style="52" customWidth="1"/>
    <col min="6" max="6" width="13.7109375" style="52" customWidth="1"/>
    <col min="7" max="7" width="12" style="52" customWidth="1"/>
    <col min="8" max="8" width="14.7109375" style="52" customWidth="1"/>
    <col min="9" max="11" width="11.7109375" style="52" customWidth="1"/>
    <col min="12" max="12" width="12.28515625" style="52" customWidth="1"/>
    <col min="13" max="14" width="7.5703125" style="52" customWidth="1"/>
    <col min="15" max="15" width="13.5703125" style="52" customWidth="1"/>
    <col min="16" max="16" width="12.85546875" style="52" customWidth="1"/>
    <col min="17" max="17" width="14.85546875" style="52" customWidth="1"/>
    <col min="18" max="19" width="12" style="23" customWidth="1"/>
    <col min="20" max="21" width="11.7109375" style="52" customWidth="1"/>
    <col min="22" max="22" width="12.28515625" style="52" customWidth="1"/>
    <col min="23" max="24" width="7.28515625" style="52" customWidth="1"/>
    <col min="25" max="25" width="13.5703125" style="20" customWidth="1"/>
    <col min="26" max="26" width="12.5703125" style="20" customWidth="1"/>
    <col min="27" max="27" width="15.28515625" style="52" customWidth="1"/>
    <col min="28" max="29" width="11.7109375" style="52" customWidth="1"/>
    <col min="30" max="30" width="13" style="52" customWidth="1"/>
    <col min="31" max="31" width="10.5703125" style="52" hidden="1" customWidth="1"/>
    <col min="32" max="32" width="25.28515625" style="52" hidden="1" customWidth="1"/>
    <col min="33" max="33" width="9.85546875" style="52" hidden="1" customWidth="1"/>
    <col min="34" max="35" width="11.5703125" style="52" hidden="1" customWidth="1"/>
    <col min="36" max="1025" width="8.85546875" style="52" customWidth="1"/>
    <col min="1026" max="16384" width="9.140625" style="52"/>
  </cols>
  <sheetData>
    <row r="1" spans="1:35" s="172" customFormat="1" ht="32.1" customHeight="1" x14ac:dyDescent="0.25">
      <c r="A1" s="200" t="s">
        <v>215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</row>
    <row r="2" spans="1:35" ht="20.25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5" s="16" customFormat="1" ht="29.25" customHeight="1" x14ac:dyDescent="0.25">
      <c r="A3" s="201" t="s">
        <v>0</v>
      </c>
      <c r="B3" s="201" t="s">
        <v>1</v>
      </c>
      <c r="C3" s="201" t="s">
        <v>2</v>
      </c>
      <c r="D3" s="201" t="s">
        <v>3</v>
      </c>
      <c r="E3" s="201" t="s">
        <v>4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2" t="s">
        <v>230</v>
      </c>
      <c r="Z3" s="202"/>
      <c r="AA3" s="202"/>
      <c r="AB3" s="202"/>
      <c r="AC3" s="202"/>
      <c r="AD3" s="201" t="s">
        <v>210</v>
      </c>
      <c r="AE3" s="201" t="s">
        <v>5</v>
      </c>
      <c r="AF3" s="201" t="s">
        <v>231</v>
      </c>
      <c r="AG3" s="201"/>
      <c r="AH3" s="201"/>
      <c r="AI3" s="201"/>
    </row>
    <row r="4" spans="1:35" s="16" customFormat="1" ht="17.649999999999999" customHeight="1" x14ac:dyDescent="0.25">
      <c r="A4" s="201"/>
      <c r="B4" s="201"/>
      <c r="C4" s="201"/>
      <c r="D4" s="201"/>
      <c r="E4" s="203" t="s">
        <v>6</v>
      </c>
      <c r="F4" s="203"/>
      <c r="G4" s="203"/>
      <c r="H4" s="203"/>
      <c r="I4" s="203"/>
      <c r="J4" s="203"/>
      <c r="K4" s="203"/>
      <c r="L4" s="203"/>
      <c r="M4" s="203"/>
      <c r="N4" s="203"/>
      <c r="O4" s="204" t="s">
        <v>209</v>
      </c>
      <c r="P4" s="204"/>
      <c r="Q4" s="204"/>
      <c r="R4" s="204"/>
      <c r="S4" s="204"/>
      <c r="T4" s="204"/>
      <c r="U4" s="204"/>
      <c r="V4" s="204"/>
      <c r="W4" s="204"/>
      <c r="X4" s="204"/>
      <c r="Y4" s="205" t="s">
        <v>7</v>
      </c>
      <c r="Z4" s="205" t="s">
        <v>8</v>
      </c>
      <c r="AA4" s="205" t="s">
        <v>9</v>
      </c>
      <c r="AB4" s="205" t="s">
        <v>10</v>
      </c>
      <c r="AC4" s="205"/>
      <c r="AD4" s="201"/>
      <c r="AE4" s="201"/>
      <c r="AF4" s="201"/>
      <c r="AG4" s="201"/>
      <c r="AH4" s="201"/>
      <c r="AI4" s="201"/>
    </row>
    <row r="5" spans="1:35" s="16" customFormat="1" ht="108" customHeight="1" x14ac:dyDescent="0.25">
      <c r="A5" s="201"/>
      <c r="B5" s="201"/>
      <c r="C5" s="201"/>
      <c r="D5" s="201"/>
      <c r="E5" s="205" t="s">
        <v>11</v>
      </c>
      <c r="F5" s="205" t="s">
        <v>12</v>
      </c>
      <c r="G5" s="205" t="s">
        <v>13</v>
      </c>
      <c r="H5" s="205" t="s">
        <v>14</v>
      </c>
      <c r="I5" s="205" t="s">
        <v>15</v>
      </c>
      <c r="J5" s="205"/>
      <c r="K5" s="205" t="s">
        <v>16</v>
      </c>
      <c r="L5" s="205" t="s">
        <v>17</v>
      </c>
      <c r="M5" s="205" t="s">
        <v>18</v>
      </c>
      <c r="N5" s="205"/>
      <c r="O5" s="205" t="s">
        <v>19</v>
      </c>
      <c r="P5" s="205" t="s">
        <v>20</v>
      </c>
      <c r="Q5" s="205" t="s">
        <v>21</v>
      </c>
      <c r="R5" s="205" t="s">
        <v>22</v>
      </c>
      <c r="S5" s="205"/>
      <c r="T5" s="205" t="s">
        <v>56</v>
      </c>
      <c r="U5" s="205" t="s">
        <v>23</v>
      </c>
      <c r="V5" s="205" t="s">
        <v>24</v>
      </c>
      <c r="W5" s="205" t="s">
        <v>18</v>
      </c>
      <c r="X5" s="205"/>
      <c r="Y5" s="205"/>
      <c r="Z5" s="205"/>
      <c r="AA5" s="205"/>
      <c r="AB5" s="205"/>
      <c r="AC5" s="205"/>
      <c r="AD5" s="201"/>
      <c r="AE5" s="201"/>
      <c r="AF5" s="201"/>
      <c r="AG5" s="201"/>
      <c r="AH5" s="201"/>
      <c r="AI5" s="201"/>
    </row>
    <row r="6" spans="1:35" s="16" customFormat="1" ht="91.5" customHeight="1" x14ac:dyDescent="0.25">
      <c r="A6" s="201"/>
      <c r="B6" s="201"/>
      <c r="C6" s="201"/>
      <c r="D6" s="201"/>
      <c r="E6" s="205"/>
      <c r="F6" s="205"/>
      <c r="G6" s="205"/>
      <c r="H6" s="205"/>
      <c r="I6" s="2" t="s">
        <v>25</v>
      </c>
      <c r="J6" s="3" t="s">
        <v>26</v>
      </c>
      <c r="K6" s="205"/>
      <c r="L6" s="205"/>
      <c r="M6" s="2" t="s">
        <v>27</v>
      </c>
      <c r="N6" s="3" t="s">
        <v>28</v>
      </c>
      <c r="O6" s="205"/>
      <c r="P6" s="205"/>
      <c r="Q6" s="205"/>
      <c r="R6" s="2" t="s">
        <v>29</v>
      </c>
      <c r="S6" s="3" t="s">
        <v>26</v>
      </c>
      <c r="T6" s="205"/>
      <c r="U6" s="205"/>
      <c r="V6" s="205"/>
      <c r="W6" s="2" t="s">
        <v>27</v>
      </c>
      <c r="X6" s="3" t="s">
        <v>28</v>
      </c>
      <c r="Y6" s="205"/>
      <c r="Z6" s="205"/>
      <c r="AA6" s="205"/>
      <c r="AB6" s="4" t="s">
        <v>25</v>
      </c>
      <c r="AC6" s="4" t="s">
        <v>26</v>
      </c>
      <c r="AD6" s="201"/>
      <c r="AE6" s="201"/>
      <c r="AF6" s="4" t="s">
        <v>30</v>
      </c>
      <c r="AG6" s="4" t="s">
        <v>232</v>
      </c>
      <c r="AH6" s="4" t="s">
        <v>233</v>
      </c>
      <c r="AI6" s="4" t="s">
        <v>31</v>
      </c>
    </row>
    <row r="7" spans="1:35" x14ac:dyDescent="0.25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  <c r="U7" s="68">
        <v>21</v>
      </c>
      <c r="V7" s="68">
        <v>22</v>
      </c>
      <c r="W7" s="68">
        <v>23</v>
      </c>
      <c r="X7" s="68">
        <v>24</v>
      </c>
      <c r="Y7" s="68">
        <v>25</v>
      </c>
      <c r="Z7" s="68">
        <v>26</v>
      </c>
      <c r="AA7" s="68">
        <v>27</v>
      </c>
      <c r="AB7" s="68">
        <v>28</v>
      </c>
      <c r="AC7" s="68">
        <v>29</v>
      </c>
      <c r="AD7" s="68">
        <v>30</v>
      </c>
      <c r="AE7" s="68">
        <v>31</v>
      </c>
      <c r="AF7" s="68">
        <v>32</v>
      </c>
      <c r="AG7" s="68">
        <v>33</v>
      </c>
      <c r="AH7" s="68">
        <v>34</v>
      </c>
      <c r="AI7" s="21">
        <v>35</v>
      </c>
    </row>
    <row r="8" spans="1:35" s="53" customFormat="1" ht="63" customHeight="1" x14ac:dyDescent="0.25">
      <c r="A8" s="35">
        <v>764</v>
      </c>
      <c r="B8" s="32" t="s">
        <v>45</v>
      </c>
      <c r="C8" s="33" t="s">
        <v>227</v>
      </c>
      <c r="D8" s="34">
        <v>4</v>
      </c>
      <c r="E8" s="35" t="s">
        <v>101</v>
      </c>
      <c r="F8" s="36">
        <v>1828</v>
      </c>
      <c r="G8" s="36">
        <v>3087</v>
      </c>
      <c r="H8" s="12">
        <f>(G8-F8)/F8*100</f>
        <v>68.873085339168497</v>
      </c>
      <c r="I8" s="36">
        <v>1</v>
      </c>
      <c r="J8" s="36">
        <v>0</v>
      </c>
      <c r="K8" s="36">
        <v>3087</v>
      </c>
      <c r="L8" s="39">
        <f>K8/G8*100</f>
        <v>100</v>
      </c>
      <c r="M8" s="36">
        <v>0</v>
      </c>
      <c r="N8" s="36">
        <v>0</v>
      </c>
      <c r="O8" s="182">
        <v>61223798.68</v>
      </c>
      <c r="P8" s="182">
        <v>60104173.25</v>
      </c>
      <c r="Q8" s="183">
        <f>(P8-O8)/O8*100</f>
        <v>-1.8287421789228968</v>
      </c>
      <c r="R8" s="36">
        <v>0</v>
      </c>
      <c r="S8" s="36">
        <v>0</v>
      </c>
      <c r="T8" s="182">
        <v>60104173.25</v>
      </c>
      <c r="U8" s="182">
        <v>59379151.450000003</v>
      </c>
      <c r="V8" s="182">
        <f t="shared" ref="V8:V10" si="0">T8/P8*100</f>
        <v>100</v>
      </c>
      <c r="W8" s="36">
        <v>0</v>
      </c>
      <c r="X8" s="36">
        <v>0</v>
      </c>
      <c r="Y8" s="186">
        <f>SUM(O8/F8)</f>
        <v>33492.23122538293</v>
      </c>
      <c r="Z8" s="186">
        <f>SUM(P8/G8)</f>
        <v>19470.09175574992</v>
      </c>
      <c r="AA8" s="187">
        <f>(Z8-Y8)/Y8*100</f>
        <v>-41.866841821532567</v>
      </c>
      <c r="AB8" s="36">
        <v>0</v>
      </c>
      <c r="AC8" s="36">
        <v>3</v>
      </c>
      <c r="AD8" s="188">
        <f>T8-U8</f>
        <v>725021.79999999702</v>
      </c>
      <c r="AE8" s="192">
        <v>100</v>
      </c>
      <c r="AF8" s="36" t="s">
        <v>236</v>
      </c>
      <c r="AG8" s="36">
        <v>3067</v>
      </c>
      <c r="AH8" s="36">
        <v>3087</v>
      </c>
      <c r="AI8" s="38">
        <f>AH8/AG8*100</f>
        <v>100.6521030322791</v>
      </c>
    </row>
    <row r="9" spans="1:35" s="53" customFormat="1" ht="63" customHeight="1" x14ac:dyDescent="0.25">
      <c r="A9" s="35">
        <v>764</v>
      </c>
      <c r="B9" s="32" t="s">
        <v>46</v>
      </c>
      <c r="C9" s="33" t="s">
        <v>227</v>
      </c>
      <c r="D9" s="34">
        <v>4</v>
      </c>
      <c r="E9" s="35" t="s">
        <v>101</v>
      </c>
      <c r="F9" s="36">
        <v>421</v>
      </c>
      <c r="G9" s="36">
        <v>521</v>
      </c>
      <c r="H9" s="12">
        <f>(G9-F9)/F9*100</f>
        <v>23.75296912114014</v>
      </c>
      <c r="I9" s="36">
        <v>2</v>
      </c>
      <c r="J9" s="36">
        <v>0</v>
      </c>
      <c r="K9" s="36">
        <v>521</v>
      </c>
      <c r="L9" s="39">
        <f>K9/G9*100</f>
        <v>100</v>
      </c>
      <c r="M9" s="36">
        <v>0</v>
      </c>
      <c r="N9" s="36">
        <v>0</v>
      </c>
      <c r="O9" s="182">
        <v>23223832.949999999</v>
      </c>
      <c r="P9" s="182">
        <v>22943834.300000001</v>
      </c>
      <c r="Q9" s="183">
        <f t="shared" ref="Q9:Q11" si="1">(P9-O9)/O9*100</f>
        <v>-1.2056521875731048</v>
      </c>
      <c r="R9" s="36">
        <v>0</v>
      </c>
      <c r="S9" s="36">
        <v>0</v>
      </c>
      <c r="T9" s="182">
        <v>22943834.300000001</v>
      </c>
      <c r="U9" s="182">
        <v>22802914.52</v>
      </c>
      <c r="V9" s="182">
        <f t="shared" si="0"/>
        <v>100</v>
      </c>
      <c r="W9" s="36">
        <v>0</v>
      </c>
      <c r="X9" s="36">
        <v>0</v>
      </c>
      <c r="Y9" s="186">
        <f t="shared" ref="Y9:Y11" si="2">SUM(O9/F9)</f>
        <v>55163.498693586698</v>
      </c>
      <c r="Z9" s="186">
        <f t="shared" ref="Z9:Z10" si="3">SUM(P9/G9)</f>
        <v>44038.069673704413</v>
      </c>
      <c r="AA9" s="187">
        <f>(Z9-Y9)/Y9*100</f>
        <v>-20.168098984584034</v>
      </c>
      <c r="AB9" s="36">
        <v>0</v>
      </c>
      <c r="AC9" s="36">
        <v>1</v>
      </c>
      <c r="AD9" s="188">
        <f>T9-U9</f>
        <v>140919.78000000119</v>
      </c>
      <c r="AE9" s="192">
        <v>100</v>
      </c>
      <c r="AF9" s="36" t="s">
        <v>236</v>
      </c>
      <c r="AG9" s="36">
        <v>519</v>
      </c>
      <c r="AH9" s="36">
        <v>521</v>
      </c>
      <c r="AI9" s="38">
        <f>AH9/AG9*100</f>
        <v>100.38535645472062</v>
      </c>
    </row>
    <row r="10" spans="1:35" s="53" customFormat="1" ht="63" customHeight="1" x14ac:dyDescent="0.25">
      <c r="A10" s="35">
        <v>764</v>
      </c>
      <c r="B10" s="32" t="s">
        <v>47</v>
      </c>
      <c r="C10" s="33" t="s">
        <v>227</v>
      </c>
      <c r="D10" s="34">
        <v>1</v>
      </c>
      <c r="E10" s="35" t="s">
        <v>101</v>
      </c>
      <c r="F10" s="36">
        <v>33</v>
      </c>
      <c r="G10" s="36">
        <v>23</v>
      </c>
      <c r="H10" s="12">
        <f>(G10-F10)/F10*100</f>
        <v>-30.303030303030305</v>
      </c>
      <c r="I10" s="36">
        <v>0</v>
      </c>
      <c r="J10" s="36">
        <v>1</v>
      </c>
      <c r="K10" s="36">
        <v>23</v>
      </c>
      <c r="L10" s="39">
        <f>K10/G10*100</f>
        <v>100</v>
      </c>
      <c r="M10" s="36">
        <v>0</v>
      </c>
      <c r="N10" s="36">
        <v>0</v>
      </c>
      <c r="O10" s="182">
        <v>957716.1</v>
      </c>
      <c r="P10" s="182">
        <v>758952.02</v>
      </c>
      <c r="Q10" s="183">
        <f t="shared" si="1"/>
        <v>-20.753966650451002</v>
      </c>
      <c r="R10" s="36">
        <v>0</v>
      </c>
      <c r="S10" s="36">
        <v>1</v>
      </c>
      <c r="T10" s="182">
        <v>758952.02</v>
      </c>
      <c r="U10" s="182">
        <v>752248.78</v>
      </c>
      <c r="V10" s="182">
        <f t="shared" si="0"/>
        <v>100</v>
      </c>
      <c r="W10" s="36">
        <v>0</v>
      </c>
      <c r="X10" s="36">
        <v>0</v>
      </c>
      <c r="Y10" s="186">
        <f t="shared" si="2"/>
        <v>29021.7</v>
      </c>
      <c r="Z10" s="186">
        <f t="shared" si="3"/>
        <v>32997.913913043478</v>
      </c>
      <c r="AA10" s="187">
        <f>(Z10-Y10)/Y10*100</f>
        <v>13.700830458048555</v>
      </c>
      <c r="AB10" s="36">
        <v>1</v>
      </c>
      <c r="AC10" s="36">
        <v>0</v>
      </c>
      <c r="AD10" s="188">
        <f>T10-U10</f>
        <v>6703.2399999999907</v>
      </c>
      <c r="AE10" s="192">
        <v>100</v>
      </c>
      <c r="AF10" s="36" t="s">
        <v>236</v>
      </c>
      <c r="AG10" s="36">
        <v>23</v>
      </c>
      <c r="AH10" s="36">
        <v>23</v>
      </c>
      <c r="AI10" s="38">
        <f>AH10/AG10*100</f>
        <v>100</v>
      </c>
    </row>
    <row r="11" spans="1:35" s="53" customFormat="1" ht="63" customHeight="1" x14ac:dyDescent="0.25">
      <c r="A11" s="35">
        <v>764</v>
      </c>
      <c r="B11" s="32" t="s">
        <v>48</v>
      </c>
      <c r="C11" s="33" t="s">
        <v>227</v>
      </c>
      <c r="D11" s="34">
        <v>2</v>
      </c>
      <c r="E11" s="35" t="s">
        <v>101</v>
      </c>
      <c r="F11" s="36">
        <v>16</v>
      </c>
      <c r="G11" s="36">
        <v>0</v>
      </c>
      <c r="H11" s="12">
        <f>(G11-F11)/F11*100</f>
        <v>-100</v>
      </c>
      <c r="I11" s="36">
        <v>0</v>
      </c>
      <c r="J11" s="36">
        <v>2</v>
      </c>
      <c r="K11" s="36">
        <v>0</v>
      </c>
      <c r="L11" s="39">
        <v>0</v>
      </c>
      <c r="M11" s="36">
        <v>0</v>
      </c>
      <c r="N11" s="36">
        <v>2</v>
      </c>
      <c r="O11" s="182">
        <v>98052.27</v>
      </c>
      <c r="P11" s="182">
        <v>0</v>
      </c>
      <c r="Q11" s="183">
        <f t="shared" si="1"/>
        <v>-100</v>
      </c>
      <c r="R11" s="36">
        <v>0</v>
      </c>
      <c r="S11" s="36">
        <v>1</v>
      </c>
      <c r="T11" s="182">
        <v>0</v>
      </c>
      <c r="U11" s="182">
        <v>0</v>
      </c>
      <c r="V11" s="182">
        <v>0</v>
      </c>
      <c r="W11" s="36">
        <v>0</v>
      </c>
      <c r="X11" s="36">
        <v>1</v>
      </c>
      <c r="Y11" s="186">
        <f t="shared" si="2"/>
        <v>6128.2668750000003</v>
      </c>
      <c r="Z11" s="186">
        <v>0</v>
      </c>
      <c r="AA11" s="187">
        <f>(Z11-Y11)/Y11*100</f>
        <v>-100</v>
      </c>
      <c r="AB11" s="36">
        <v>0</v>
      </c>
      <c r="AC11" s="36">
        <v>2</v>
      </c>
      <c r="AD11" s="188">
        <f>T11-U11</f>
        <v>0</v>
      </c>
      <c r="AE11" s="192">
        <v>100</v>
      </c>
      <c r="AF11" s="36" t="s">
        <v>236</v>
      </c>
      <c r="AG11" s="36">
        <v>20</v>
      </c>
      <c r="AH11" s="36">
        <v>0</v>
      </c>
      <c r="AI11" s="38">
        <f>AH11/AG11*100</f>
        <v>0</v>
      </c>
    </row>
    <row r="12" spans="1:35" s="61" customFormat="1" x14ac:dyDescent="0.25">
      <c r="A12" s="26"/>
      <c r="B12" s="48" t="s">
        <v>33</v>
      </c>
      <c r="C12" s="28"/>
      <c r="D12" s="29"/>
      <c r="E12" s="30"/>
      <c r="F12" s="30"/>
      <c r="G12" s="30"/>
      <c r="H12" s="42"/>
      <c r="I12" s="30"/>
      <c r="J12" s="30"/>
      <c r="K12" s="30"/>
      <c r="L12" s="42"/>
      <c r="M12" s="30"/>
      <c r="N12" s="30"/>
      <c r="O12" s="184">
        <f>SUM(O8:O11)</f>
        <v>85503399.999999985</v>
      </c>
      <c r="P12" s="184">
        <f>SUM(P8:P11)</f>
        <v>83806959.569999993</v>
      </c>
      <c r="Q12" s="184">
        <f>(P12-O12)/O12*100</f>
        <v>-1.9840619554310033</v>
      </c>
      <c r="R12" s="30"/>
      <c r="S12" s="30"/>
      <c r="T12" s="184">
        <f>SUM(T8:T11)</f>
        <v>83806959.569999993</v>
      </c>
      <c r="U12" s="184">
        <f>SUM(U8:U11)</f>
        <v>82934314.75</v>
      </c>
      <c r="V12" s="184">
        <f>U12/P12*100</f>
        <v>98.958744208741862</v>
      </c>
      <c r="W12" s="30"/>
      <c r="X12" s="30"/>
      <c r="Y12" s="30"/>
      <c r="Z12" s="30"/>
      <c r="AA12" s="30"/>
      <c r="AB12" s="30"/>
      <c r="AC12" s="30"/>
      <c r="AD12" s="189">
        <f>T12-U12</f>
        <v>872644.81999999285</v>
      </c>
      <c r="AE12" s="43"/>
      <c r="AF12" s="59"/>
      <c r="AG12" s="31"/>
      <c r="AH12" s="59"/>
      <c r="AI12" s="70"/>
    </row>
    <row r="13" spans="1:35" s="61" customFormat="1" ht="32.25" customHeight="1" x14ac:dyDescent="0.25">
      <c r="A13" s="26"/>
      <c r="B13" s="48" t="s">
        <v>34</v>
      </c>
      <c r="C13" s="30"/>
      <c r="D13" s="30"/>
      <c r="E13" s="30"/>
      <c r="F13" s="44"/>
      <c r="G13" s="44"/>
      <c r="H13" s="44"/>
      <c r="I13" s="44"/>
      <c r="J13" s="44"/>
      <c r="K13" s="44"/>
      <c r="L13" s="44"/>
      <c r="M13" s="44"/>
      <c r="N13" s="44"/>
      <c r="O13" s="185">
        <f>SUM(O12:O12)</f>
        <v>85503399.999999985</v>
      </c>
      <c r="P13" s="185">
        <f>SUM(P12:P12)</f>
        <v>83806959.569999993</v>
      </c>
      <c r="Q13" s="184">
        <f>(P13-O13)/O13*100</f>
        <v>-1.9840619554310033</v>
      </c>
      <c r="R13" s="46"/>
      <c r="S13" s="46"/>
      <c r="T13" s="185">
        <f>SUM(T12:T12)</f>
        <v>83806959.569999993</v>
      </c>
      <c r="U13" s="185">
        <f>SUM(U12:U12)</f>
        <v>82934314.75</v>
      </c>
      <c r="V13" s="185">
        <f>U13/P13*100</f>
        <v>98.958744208741862</v>
      </c>
      <c r="W13" s="46"/>
      <c r="X13" s="46"/>
      <c r="Y13" s="46"/>
      <c r="Z13" s="46"/>
      <c r="AA13" s="46"/>
      <c r="AB13" s="46"/>
      <c r="AC13" s="46"/>
      <c r="AD13" s="185">
        <f>SUM(AD12:AD12)</f>
        <v>872644.81999999285</v>
      </c>
      <c r="AE13" s="45"/>
      <c r="AF13" s="47"/>
      <c r="AG13" s="47"/>
      <c r="AH13" s="47"/>
      <c r="AI13" s="43"/>
    </row>
    <row r="14" spans="1:35" s="16" customFormat="1" x14ac:dyDescent="0.25">
      <c r="A14" s="52"/>
      <c r="D14" s="23"/>
      <c r="E14" s="1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4"/>
      <c r="S14" s="24"/>
      <c r="T14" s="19"/>
      <c r="U14" s="19"/>
      <c r="V14" s="19"/>
      <c r="W14" s="19"/>
      <c r="X14" s="19"/>
      <c r="Y14" s="18"/>
      <c r="Z14" s="18"/>
      <c r="AA14" s="19"/>
      <c r="AB14" s="19"/>
      <c r="AC14" s="19"/>
      <c r="AD14" s="19"/>
      <c r="AE14" s="19"/>
      <c r="AF14" s="19"/>
    </row>
    <row r="15" spans="1:35" s="16" customFormat="1" x14ac:dyDescent="0.25">
      <c r="A15" s="52"/>
      <c r="D15" s="23"/>
      <c r="E15" s="17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4"/>
      <c r="S15" s="24"/>
      <c r="T15" s="19"/>
      <c r="U15" s="19"/>
      <c r="V15" s="19"/>
      <c r="W15" s="19"/>
      <c r="X15" s="19"/>
      <c r="Y15" s="18"/>
      <c r="Z15" s="18"/>
      <c r="AA15" s="19"/>
      <c r="AB15" s="19"/>
      <c r="AC15" s="19"/>
      <c r="AD15" s="19"/>
      <c r="AE15" s="19"/>
      <c r="AF15" s="19"/>
    </row>
    <row r="16" spans="1:35" s="16" customFormat="1" x14ac:dyDescent="0.25">
      <c r="A16" s="52"/>
      <c r="D16" s="23"/>
      <c r="E16" s="17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4"/>
      <c r="S16" s="24"/>
      <c r="T16" s="19"/>
      <c r="U16" s="19"/>
      <c r="V16" s="19"/>
      <c r="W16" s="19"/>
      <c r="X16" s="19"/>
      <c r="Y16" s="18"/>
      <c r="Z16" s="18"/>
      <c r="AA16" s="19"/>
      <c r="AB16" s="19"/>
      <c r="AC16" s="19"/>
      <c r="AD16" s="19"/>
      <c r="AE16" s="19"/>
      <c r="AF16" s="19"/>
    </row>
    <row r="17" spans="1:32" s="16" customFormat="1" x14ac:dyDescent="0.25">
      <c r="A17" s="52"/>
      <c r="D17" s="23"/>
      <c r="E17" s="17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4"/>
      <c r="S17" s="24"/>
      <c r="T17" s="19"/>
      <c r="U17" s="19"/>
      <c r="V17" s="19"/>
      <c r="W17" s="19"/>
      <c r="X17" s="19"/>
      <c r="Y17" s="18"/>
      <c r="Z17" s="18"/>
      <c r="AA17" s="19"/>
      <c r="AB17" s="19"/>
      <c r="AC17" s="19"/>
      <c r="AD17" s="19"/>
      <c r="AE17" s="19"/>
      <c r="AF17" s="19"/>
    </row>
    <row r="18" spans="1:32" s="16" customFormat="1" x14ac:dyDescent="0.25">
      <c r="A18" s="52"/>
      <c r="D18" s="23"/>
      <c r="E18" s="17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4"/>
      <c r="S18" s="24"/>
      <c r="T18" s="19"/>
      <c r="U18" s="19"/>
      <c r="V18" s="19"/>
      <c r="W18" s="19"/>
      <c r="X18" s="19"/>
      <c r="Y18" s="18"/>
      <c r="Z18" s="18"/>
      <c r="AA18" s="19"/>
      <c r="AB18" s="19"/>
      <c r="AC18" s="19"/>
      <c r="AD18" s="19"/>
      <c r="AE18" s="19"/>
      <c r="AF18" s="19"/>
    </row>
    <row r="19" spans="1:32" s="16" customFormat="1" ht="36" customHeight="1" x14ac:dyDescent="0.25">
      <c r="A19" s="196" t="s">
        <v>50</v>
      </c>
      <c r="B19" s="196"/>
      <c r="D19" s="165"/>
      <c r="E19" s="19"/>
      <c r="F19" s="198" t="s">
        <v>53</v>
      </c>
      <c r="G19" s="19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4"/>
      <c r="W19" s="19"/>
      <c r="X19" s="19"/>
      <c r="Y19" s="18"/>
      <c r="Z19" s="18"/>
      <c r="AA19" s="19"/>
      <c r="AB19" s="19"/>
      <c r="AC19" s="19"/>
      <c r="AD19" s="19"/>
      <c r="AE19" s="19"/>
      <c r="AF19" s="19"/>
    </row>
    <row r="20" spans="1:32" s="16" customFormat="1" x14ac:dyDescent="0.25">
      <c r="A20" s="52"/>
      <c r="D20" s="23" t="s">
        <v>52</v>
      </c>
      <c r="E20" s="19"/>
      <c r="F20" s="199" t="s">
        <v>54</v>
      </c>
      <c r="G20" s="19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4"/>
      <c r="W20" s="19"/>
      <c r="X20" s="19"/>
      <c r="Y20" s="18"/>
      <c r="Z20" s="18"/>
      <c r="AA20" s="19"/>
      <c r="AB20" s="19"/>
      <c r="AC20" s="19"/>
      <c r="AD20" s="19"/>
      <c r="AE20" s="19"/>
      <c r="AF20" s="19"/>
    </row>
    <row r="21" spans="1:32" s="16" customFormat="1" x14ac:dyDescent="0.25">
      <c r="A21" s="52"/>
      <c r="D21" s="23"/>
      <c r="E21" s="17"/>
      <c r="R21" s="25"/>
      <c r="S21" s="25"/>
      <c r="Y21" s="20"/>
      <c r="Z21" s="20"/>
    </row>
    <row r="22" spans="1:32" s="16" customFormat="1" x14ac:dyDescent="0.25">
      <c r="A22" s="197" t="s">
        <v>223</v>
      </c>
      <c r="B22" s="197"/>
      <c r="C22" s="197"/>
      <c r="D22" s="197"/>
      <c r="E22" s="197"/>
      <c r="F22" s="197"/>
      <c r="R22" s="25"/>
      <c r="S22" s="25"/>
      <c r="Y22" s="20"/>
      <c r="Z22" s="20"/>
    </row>
    <row r="23" spans="1:32" s="16" customFormat="1" x14ac:dyDescent="0.25">
      <c r="A23" s="166"/>
      <c r="B23" s="166"/>
      <c r="C23" s="166"/>
      <c r="D23" s="167"/>
      <c r="E23" s="167"/>
      <c r="F23" s="167"/>
      <c r="R23" s="25"/>
      <c r="S23" s="25"/>
      <c r="Y23" s="20"/>
      <c r="Z23" s="20"/>
    </row>
    <row r="24" spans="1:32" s="16" customFormat="1" x14ac:dyDescent="0.25">
      <c r="A24" s="197" t="s">
        <v>51</v>
      </c>
      <c r="B24" s="197"/>
      <c r="C24" s="197"/>
      <c r="D24" s="197"/>
      <c r="E24" s="197"/>
      <c r="F24" s="167"/>
      <c r="R24" s="25"/>
      <c r="S24" s="25"/>
      <c r="Y24" s="20"/>
      <c r="Z24" s="20"/>
    </row>
    <row r="25" spans="1:32" x14ac:dyDescent="0.25">
      <c r="A25" s="52"/>
    </row>
    <row r="26" spans="1:32" x14ac:dyDescent="0.25">
      <c r="A26" s="52"/>
    </row>
    <row r="27" spans="1:32" x14ac:dyDescent="0.25">
      <c r="A27" s="52"/>
    </row>
    <row r="28" spans="1:32" x14ac:dyDescent="0.25">
      <c r="A28" s="52"/>
    </row>
    <row r="29" spans="1:32" x14ac:dyDescent="0.25">
      <c r="A29" s="52"/>
    </row>
    <row r="30" spans="1:32" x14ac:dyDescent="0.25">
      <c r="A30" s="52"/>
    </row>
    <row r="31" spans="1:32" x14ac:dyDescent="0.25">
      <c r="A31" s="52"/>
    </row>
    <row r="32" spans="1:32" x14ac:dyDescent="0.25">
      <c r="A32" s="52"/>
    </row>
  </sheetData>
  <mergeCells count="37">
    <mergeCell ref="W5:X5"/>
    <mergeCell ref="Q5:Q6"/>
    <mergeCell ref="R5:S5"/>
    <mergeCell ref="T5:T6"/>
    <mergeCell ref="U5:U6"/>
    <mergeCell ref="V5:V6"/>
    <mergeCell ref="K5:K6"/>
    <mergeCell ref="L5:L6"/>
    <mergeCell ref="M5:N5"/>
    <mergeCell ref="O5:O6"/>
    <mergeCell ref="P5:P6"/>
    <mergeCell ref="E5:E6"/>
    <mergeCell ref="F5:F6"/>
    <mergeCell ref="G5:G6"/>
    <mergeCell ref="H5:H6"/>
    <mergeCell ref="I5:J5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A19:B19"/>
    <mergeCell ref="A22:F22"/>
    <mergeCell ref="A24:E24"/>
    <mergeCell ref="F19:G19"/>
    <mergeCell ref="F20:G20"/>
  </mergeCells>
  <printOptions horizontalCentered="1"/>
  <pageMargins left="0.196527777777778" right="0.196527777777778" top="0.94513888888888897" bottom="0.15763888888888899" header="0.31527777777777799" footer="0.51180555555555496"/>
  <pageSetup paperSize="9" scale="39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B80A"/>
    <pageSetUpPr fitToPage="1"/>
  </sheetPr>
  <dimension ref="A1:AI22"/>
  <sheetViews>
    <sheetView view="pageBreakPreview" zoomScale="70" zoomScaleNormal="70" zoomScaleSheetLayoutView="70" zoomScalePageLayoutView="85" workbookViewId="0">
      <pane xSplit="2" ySplit="7" topLeftCell="G8" activePane="bottomRight" state="frozen"/>
      <selection pane="topRight" activeCell="C1" sqref="C1"/>
      <selection pane="bottomLeft" activeCell="A7" sqref="A7"/>
      <selection pane="bottomRight" activeCell="T10" sqref="T10"/>
    </sheetView>
  </sheetViews>
  <sheetFormatPr defaultRowHeight="15" x14ac:dyDescent="0.25"/>
  <cols>
    <col min="1" max="1" width="14" style="1" customWidth="1"/>
    <col min="2" max="2" width="19.140625" style="16" customWidth="1"/>
    <col min="3" max="3" width="14.85546875" style="16" customWidth="1"/>
    <col min="4" max="4" width="9.5703125" style="23" customWidth="1"/>
    <col min="5" max="5" width="12.28515625" style="17" customWidth="1"/>
    <col min="6" max="6" width="13.7109375" style="16" customWidth="1"/>
    <col min="7" max="7" width="11.85546875" style="16" customWidth="1"/>
    <col min="8" max="8" width="15.42578125" style="16" customWidth="1"/>
    <col min="9" max="11" width="12.140625" style="16" customWidth="1"/>
    <col min="12" max="12" width="12.28515625" style="16" customWidth="1"/>
    <col min="13" max="14" width="7.5703125" style="16" customWidth="1"/>
    <col min="15" max="16" width="13.42578125" style="16" customWidth="1"/>
    <col min="17" max="17" width="14.42578125" style="16" customWidth="1"/>
    <col min="18" max="19" width="11.85546875" style="25" customWidth="1"/>
    <col min="20" max="21" width="12.85546875" style="16" customWidth="1"/>
    <col min="22" max="22" width="11.7109375" style="16" customWidth="1"/>
    <col min="23" max="24" width="7" style="16" customWidth="1"/>
    <col min="25" max="25" width="13.5703125" style="20" customWidth="1"/>
    <col min="26" max="26" width="11" style="20" customWidth="1"/>
    <col min="27" max="27" width="15.28515625" style="16" customWidth="1"/>
    <col min="28" max="29" width="11.7109375" style="16" customWidth="1"/>
    <col min="30" max="30" width="13" style="16" customWidth="1"/>
    <col min="31" max="31" width="11" style="16" hidden="1" customWidth="1"/>
    <col min="32" max="32" width="25.28515625" style="16" hidden="1" customWidth="1"/>
    <col min="33" max="34" width="11.42578125" style="16" hidden="1" customWidth="1"/>
    <col min="35" max="35" width="13.42578125" style="16" hidden="1" customWidth="1"/>
    <col min="36" max="1025" width="8.85546875" style="16" customWidth="1"/>
    <col min="1026" max="16384" width="9.140625" style="16"/>
  </cols>
  <sheetData>
    <row r="1" spans="1:35" ht="32.1" customHeight="1" x14ac:dyDescent="0.25">
      <c r="A1" s="200" t="s">
        <v>216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</row>
    <row r="2" spans="1:35" ht="32.1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5" ht="29.25" customHeight="1" x14ac:dyDescent="0.25">
      <c r="A3" s="201" t="s">
        <v>0</v>
      </c>
      <c r="B3" s="201" t="s">
        <v>1</v>
      </c>
      <c r="C3" s="201" t="s">
        <v>2</v>
      </c>
      <c r="D3" s="201" t="s">
        <v>3</v>
      </c>
      <c r="E3" s="201" t="s">
        <v>4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2" t="s">
        <v>230</v>
      </c>
      <c r="Z3" s="202"/>
      <c r="AA3" s="202"/>
      <c r="AB3" s="202"/>
      <c r="AC3" s="202"/>
      <c r="AD3" s="201" t="s">
        <v>210</v>
      </c>
      <c r="AE3" s="201" t="s">
        <v>5</v>
      </c>
      <c r="AF3" s="201" t="s">
        <v>231</v>
      </c>
      <c r="AG3" s="201"/>
      <c r="AH3" s="201"/>
      <c r="AI3" s="201"/>
    </row>
    <row r="4" spans="1:35" ht="17.649999999999999" customHeight="1" x14ac:dyDescent="0.25">
      <c r="A4" s="201"/>
      <c r="B4" s="201"/>
      <c r="C4" s="201"/>
      <c r="D4" s="201"/>
      <c r="E4" s="203" t="s">
        <v>6</v>
      </c>
      <c r="F4" s="203"/>
      <c r="G4" s="203"/>
      <c r="H4" s="203"/>
      <c r="I4" s="203"/>
      <c r="J4" s="203"/>
      <c r="K4" s="203"/>
      <c r="L4" s="203"/>
      <c r="M4" s="203"/>
      <c r="N4" s="203"/>
      <c r="O4" s="204" t="s">
        <v>209</v>
      </c>
      <c r="P4" s="204"/>
      <c r="Q4" s="204"/>
      <c r="R4" s="204"/>
      <c r="S4" s="204"/>
      <c r="T4" s="204"/>
      <c r="U4" s="204"/>
      <c r="V4" s="204"/>
      <c r="W4" s="204"/>
      <c r="X4" s="204"/>
      <c r="Y4" s="205" t="s">
        <v>7</v>
      </c>
      <c r="Z4" s="205" t="s">
        <v>8</v>
      </c>
      <c r="AA4" s="205" t="s">
        <v>9</v>
      </c>
      <c r="AB4" s="205" t="s">
        <v>10</v>
      </c>
      <c r="AC4" s="205"/>
      <c r="AD4" s="201"/>
      <c r="AE4" s="201"/>
      <c r="AF4" s="201"/>
      <c r="AG4" s="201"/>
      <c r="AH4" s="201"/>
      <c r="AI4" s="201"/>
    </row>
    <row r="5" spans="1:35" ht="108" customHeight="1" x14ac:dyDescent="0.25">
      <c r="A5" s="201"/>
      <c r="B5" s="201"/>
      <c r="C5" s="201"/>
      <c r="D5" s="201"/>
      <c r="E5" s="205" t="s">
        <v>11</v>
      </c>
      <c r="F5" s="205" t="s">
        <v>12</v>
      </c>
      <c r="G5" s="205" t="s">
        <v>13</v>
      </c>
      <c r="H5" s="205" t="s">
        <v>14</v>
      </c>
      <c r="I5" s="205" t="s">
        <v>15</v>
      </c>
      <c r="J5" s="205"/>
      <c r="K5" s="205" t="s">
        <v>16</v>
      </c>
      <c r="L5" s="205" t="s">
        <v>17</v>
      </c>
      <c r="M5" s="205" t="s">
        <v>18</v>
      </c>
      <c r="N5" s="205"/>
      <c r="O5" s="205" t="s">
        <v>19</v>
      </c>
      <c r="P5" s="205" t="s">
        <v>20</v>
      </c>
      <c r="Q5" s="205" t="s">
        <v>21</v>
      </c>
      <c r="R5" s="205" t="s">
        <v>22</v>
      </c>
      <c r="S5" s="205"/>
      <c r="T5" s="205" t="s">
        <v>56</v>
      </c>
      <c r="U5" s="205" t="s">
        <v>23</v>
      </c>
      <c r="V5" s="205" t="s">
        <v>24</v>
      </c>
      <c r="W5" s="205" t="s">
        <v>18</v>
      </c>
      <c r="X5" s="205"/>
      <c r="Y5" s="205"/>
      <c r="Z5" s="205"/>
      <c r="AA5" s="205"/>
      <c r="AB5" s="205"/>
      <c r="AC5" s="205"/>
      <c r="AD5" s="201"/>
      <c r="AE5" s="201"/>
      <c r="AF5" s="201"/>
      <c r="AG5" s="201"/>
      <c r="AH5" s="201"/>
      <c r="AI5" s="201"/>
    </row>
    <row r="6" spans="1:35" ht="91.5" customHeight="1" x14ac:dyDescent="0.25">
      <c r="A6" s="201"/>
      <c r="B6" s="201"/>
      <c r="C6" s="201"/>
      <c r="D6" s="201"/>
      <c r="E6" s="205"/>
      <c r="F6" s="205"/>
      <c r="G6" s="205"/>
      <c r="H6" s="205"/>
      <c r="I6" s="2" t="s">
        <v>25</v>
      </c>
      <c r="J6" s="3" t="s">
        <v>26</v>
      </c>
      <c r="K6" s="205"/>
      <c r="L6" s="205"/>
      <c r="M6" s="2" t="s">
        <v>27</v>
      </c>
      <c r="N6" s="3" t="s">
        <v>28</v>
      </c>
      <c r="O6" s="205"/>
      <c r="P6" s="205"/>
      <c r="Q6" s="205"/>
      <c r="R6" s="2" t="s">
        <v>29</v>
      </c>
      <c r="S6" s="3" t="s">
        <v>26</v>
      </c>
      <c r="T6" s="205"/>
      <c r="U6" s="205"/>
      <c r="V6" s="205"/>
      <c r="W6" s="2" t="s">
        <v>27</v>
      </c>
      <c r="X6" s="3" t="s">
        <v>28</v>
      </c>
      <c r="Y6" s="205"/>
      <c r="Z6" s="205"/>
      <c r="AA6" s="205"/>
      <c r="AB6" s="4" t="s">
        <v>25</v>
      </c>
      <c r="AC6" s="4" t="s">
        <v>26</v>
      </c>
      <c r="AD6" s="201"/>
      <c r="AE6" s="201"/>
      <c r="AF6" s="4" t="s">
        <v>30</v>
      </c>
      <c r="AG6" s="4" t="s">
        <v>232</v>
      </c>
      <c r="AH6" s="4" t="s">
        <v>233</v>
      </c>
      <c r="AI6" s="4" t="s">
        <v>31</v>
      </c>
    </row>
    <row r="7" spans="1:35" x14ac:dyDescent="0.25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  <c r="U7" s="68">
        <v>21</v>
      </c>
      <c r="V7" s="68">
        <v>22</v>
      </c>
      <c r="W7" s="68">
        <v>23</v>
      </c>
      <c r="X7" s="68">
        <v>24</v>
      </c>
      <c r="Y7" s="68">
        <v>25</v>
      </c>
      <c r="Z7" s="68">
        <v>26</v>
      </c>
      <c r="AA7" s="68">
        <v>27</v>
      </c>
      <c r="AB7" s="68">
        <v>28</v>
      </c>
      <c r="AC7" s="68">
        <v>29</v>
      </c>
      <c r="AD7" s="68">
        <v>30</v>
      </c>
      <c r="AE7" s="68">
        <v>31</v>
      </c>
      <c r="AF7" s="68">
        <v>32</v>
      </c>
      <c r="AG7" s="68">
        <v>33</v>
      </c>
      <c r="AH7" s="68">
        <v>34</v>
      </c>
      <c r="AI7" s="21">
        <v>35</v>
      </c>
    </row>
    <row r="8" spans="1:35" s="37" customFormat="1" ht="210" x14ac:dyDescent="0.25">
      <c r="A8" s="173" t="s">
        <v>44</v>
      </c>
      <c r="B8" s="58" t="s">
        <v>41</v>
      </c>
      <c r="C8" s="33" t="s">
        <v>227</v>
      </c>
      <c r="D8" s="34">
        <v>1</v>
      </c>
      <c r="E8" s="35" t="s">
        <v>73</v>
      </c>
      <c r="F8" s="36">
        <v>3616</v>
      </c>
      <c r="G8" s="36">
        <v>3616</v>
      </c>
      <c r="H8" s="12">
        <f>(G8-F8)/F8*100</f>
        <v>0</v>
      </c>
      <c r="I8" s="36">
        <v>0</v>
      </c>
      <c r="J8" s="36">
        <v>0</v>
      </c>
      <c r="K8" s="36">
        <v>5106</v>
      </c>
      <c r="L8" s="39">
        <f>K8/G8*100</f>
        <v>141.20575221238937</v>
      </c>
      <c r="M8" s="36">
        <v>1</v>
      </c>
      <c r="N8" s="36">
        <v>0</v>
      </c>
      <c r="O8" s="182">
        <v>6145000</v>
      </c>
      <c r="P8" s="182">
        <v>6145000</v>
      </c>
      <c r="Q8" s="183">
        <f t="shared" ref="Q8:Q9" si="0">(P8-O8)/O8*100</f>
        <v>0</v>
      </c>
      <c r="R8" s="36">
        <v>0</v>
      </c>
      <c r="S8" s="36">
        <v>0</v>
      </c>
      <c r="T8" s="182">
        <v>6145000</v>
      </c>
      <c r="U8" s="182">
        <v>6145000</v>
      </c>
      <c r="V8" s="182">
        <f t="shared" ref="V8:V9" si="1">T8/P8*100</f>
        <v>100</v>
      </c>
      <c r="W8" s="36">
        <v>0</v>
      </c>
      <c r="X8" s="36">
        <v>0</v>
      </c>
      <c r="Y8" s="186">
        <f>O8/F8</f>
        <v>1699.391592920354</v>
      </c>
      <c r="Z8" s="186">
        <f>P8/G8</f>
        <v>1699.391592920354</v>
      </c>
      <c r="AA8" s="187">
        <f>(Z8-Y8)/Y8*100</f>
        <v>0</v>
      </c>
      <c r="AB8" s="36">
        <v>0</v>
      </c>
      <c r="AC8" s="36">
        <v>0</v>
      </c>
      <c r="AD8" s="188">
        <f>T8-U8</f>
        <v>0</v>
      </c>
      <c r="AE8" s="40">
        <v>100</v>
      </c>
      <c r="AF8" s="36" t="s">
        <v>228</v>
      </c>
      <c r="AG8" s="36">
        <v>15.4</v>
      </c>
      <c r="AH8" s="36">
        <v>73.25</v>
      </c>
      <c r="AI8" s="38">
        <f>AH8/AG8*100</f>
        <v>475.64935064935065</v>
      </c>
    </row>
    <row r="9" spans="1:35" s="37" customFormat="1" ht="75" x14ac:dyDescent="0.25">
      <c r="A9" s="173" t="s">
        <v>44</v>
      </c>
      <c r="B9" s="58" t="s">
        <v>42</v>
      </c>
      <c r="C9" s="33" t="s">
        <v>227</v>
      </c>
      <c r="D9" s="34">
        <v>1</v>
      </c>
      <c r="E9" s="35" t="s">
        <v>73</v>
      </c>
      <c r="F9" s="36">
        <v>392</v>
      </c>
      <c r="G9" s="36">
        <v>392</v>
      </c>
      <c r="H9" s="12">
        <f>(G9-F9)/F9*100</f>
        <v>0</v>
      </c>
      <c r="I9" s="36">
        <v>0</v>
      </c>
      <c r="J9" s="36">
        <v>0</v>
      </c>
      <c r="K9" s="36">
        <v>525</v>
      </c>
      <c r="L9" s="39">
        <f>K9/G9*100</f>
        <v>133.92857142857142</v>
      </c>
      <c r="M9" s="36">
        <v>1</v>
      </c>
      <c r="N9" s="36">
        <v>0</v>
      </c>
      <c r="O9" s="182">
        <v>10214000</v>
      </c>
      <c r="P9" s="182">
        <v>10039042.810000001</v>
      </c>
      <c r="Q9" s="183">
        <f t="shared" si="0"/>
        <v>-1.7129155081260963</v>
      </c>
      <c r="R9" s="36">
        <v>0</v>
      </c>
      <c r="S9" s="36">
        <v>0</v>
      </c>
      <c r="T9" s="182">
        <v>10039042.810000001</v>
      </c>
      <c r="U9" s="182">
        <v>10039042.810000001</v>
      </c>
      <c r="V9" s="182">
        <f t="shared" si="1"/>
        <v>100</v>
      </c>
      <c r="W9" s="36">
        <v>0</v>
      </c>
      <c r="X9" s="36">
        <v>0</v>
      </c>
      <c r="Y9" s="186">
        <f>O9/F9</f>
        <v>26056.122448979593</v>
      </c>
      <c r="Z9" s="186">
        <f>P9/G9</f>
        <v>25609.803086734697</v>
      </c>
      <c r="AA9" s="187">
        <f>(Z9-Y9)/Y9*100</f>
        <v>-1.7129155081260945</v>
      </c>
      <c r="AB9" s="36">
        <v>0</v>
      </c>
      <c r="AC9" s="36">
        <v>0</v>
      </c>
      <c r="AD9" s="188">
        <f>T9-U9</f>
        <v>0</v>
      </c>
      <c r="AE9" s="40">
        <v>100</v>
      </c>
      <c r="AF9" s="36" t="s">
        <v>229</v>
      </c>
      <c r="AG9" s="36">
        <v>33.450000000000003</v>
      </c>
      <c r="AH9" s="36">
        <v>37.5</v>
      </c>
      <c r="AI9" s="38">
        <f>AH9/AG9*100</f>
        <v>112.10762331838563</v>
      </c>
    </row>
    <row r="10" spans="1:35" s="171" customFormat="1" x14ac:dyDescent="0.25">
      <c r="A10" s="26"/>
      <c r="B10" s="48" t="s">
        <v>33</v>
      </c>
      <c r="C10" s="28"/>
      <c r="D10" s="29"/>
      <c r="E10" s="30"/>
      <c r="F10" s="30"/>
      <c r="G10" s="30"/>
      <c r="H10" s="42"/>
      <c r="I10" s="30"/>
      <c r="J10" s="30"/>
      <c r="K10" s="30"/>
      <c r="L10" s="42"/>
      <c r="M10" s="30"/>
      <c r="N10" s="30"/>
      <c r="O10" s="184">
        <f>O8+O9</f>
        <v>16359000</v>
      </c>
      <c r="P10" s="184">
        <f>P8+P9</f>
        <v>16184042.810000001</v>
      </c>
      <c r="Q10" s="184">
        <f>(P10-O10)/O10*100</f>
        <v>-1.0694858487682588</v>
      </c>
      <c r="R10" s="30"/>
      <c r="S10" s="30"/>
      <c r="T10" s="184">
        <f>T8+T9</f>
        <v>16184042.810000001</v>
      </c>
      <c r="U10" s="184">
        <f>U8+U9</f>
        <v>16184042.810000001</v>
      </c>
      <c r="V10" s="184">
        <f>U10/P10*100</f>
        <v>100</v>
      </c>
      <c r="W10" s="30"/>
      <c r="X10" s="30"/>
      <c r="Y10" s="184"/>
      <c r="Z10" s="184"/>
      <c r="AA10" s="184"/>
      <c r="AB10" s="30"/>
      <c r="AC10" s="30"/>
      <c r="AD10" s="189">
        <f>T10-U10</f>
        <v>0</v>
      </c>
      <c r="AE10" s="43"/>
      <c r="AF10" s="59"/>
      <c r="AG10" s="31"/>
      <c r="AH10" s="59"/>
      <c r="AI10" s="70"/>
    </row>
    <row r="11" spans="1:35" s="171" customFormat="1" ht="14.25" x14ac:dyDescent="0.25">
      <c r="A11" s="26"/>
      <c r="B11" s="48" t="s">
        <v>34</v>
      </c>
      <c r="C11" s="30"/>
      <c r="D11" s="30"/>
      <c r="E11" s="30"/>
      <c r="F11" s="44"/>
      <c r="G11" s="44"/>
      <c r="H11" s="44"/>
      <c r="I11" s="44"/>
      <c r="J11" s="44"/>
      <c r="K11" s="44"/>
      <c r="L11" s="44"/>
      <c r="M11" s="44"/>
      <c r="N11" s="44"/>
      <c r="O11" s="185">
        <f>SUM(O10:O10)</f>
        <v>16359000</v>
      </c>
      <c r="P11" s="185">
        <f>SUM(P10:P10)</f>
        <v>16184042.810000001</v>
      </c>
      <c r="Q11" s="184">
        <f>(P11-O11)/O11*100</f>
        <v>-1.0694858487682588</v>
      </c>
      <c r="R11" s="46"/>
      <c r="S11" s="46"/>
      <c r="T11" s="185">
        <f>SUM(T10:T10)</f>
        <v>16184042.810000001</v>
      </c>
      <c r="U11" s="185">
        <f>SUM(U10:U10)</f>
        <v>16184042.810000001</v>
      </c>
      <c r="V11" s="185">
        <f>U11/P11*100</f>
        <v>100</v>
      </c>
      <c r="W11" s="46"/>
      <c r="X11" s="46"/>
      <c r="Y11" s="185"/>
      <c r="Z11" s="185"/>
      <c r="AA11" s="185"/>
      <c r="AB11" s="46"/>
      <c r="AC11" s="46"/>
      <c r="AD11" s="185">
        <f>SUM(AD10:AD10)</f>
        <v>0</v>
      </c>
      <c r="AE11" s="45"/>
      <c r="AF11" s="47"/>
      <c r="AG11" s="47"/>
      <c r="AH11" s="47"/>
      <c r="AI11" s="43"/>
    </row>
    <row r="12" spans="1:35" x14ac:dyDescent="0.25">
      <c r="A12" s="52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4"/>
      <c r="S12" s="24"/>
      <c r="T12" s="19"/>
      <c r="U12" s="19"/>
      <c r="V12" s="19"/>
      <c r="W12" s="19"/>
      <c r="X12" s="19"/>
      <c r="Y12" s="18"/>
      <c r="Z12" s="18"/>
      <c r="AA12" s="19"/>
      <c r="AB12" s="19"/>
      <c r="AC12" s="19"/>
      <c r="AD12" s="19"/>
      <c r="AE12" s="19"/>
      <c r="AF12" s="19"/>
    </row>
    <row r="13" spans="1:35" x14ac:dyDescent="0.25">
      <c r="A13" s="52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4"/>
      <c r="S13" s="24"/>
      <c r="T13" s="19"/>
      <c r="U13" s="19"/>
      <c r="V13" s="19"/>
      <c r="W13" s="19"/>
      <c r="X13" s="19"/>
      <c r="Y13" s="18"/>
      <c r="Z13" s="18"/>
      <c r="AA13" s="19"/>
      <c r="AB13" s="19"/>
      <c r="AC13" s="19"/>
      <c r="AD13" s="19"/>
      <c r="AE13" s="19"/>
      <c r="AF13" s="19"/>
    </row>
    <row r="14" spans="1:35" x14ac:dyDescent="0.25">
      <c r="A14" s="52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4"/>
      <c r="S14" s="24"/>
      <c r="T14" s="19"/>
      <c r="U14" s="19"/>
      <c r="V14" s="19"/>
      <c r="W14" s="19"/>
      <c r="X14" s="19"/>
      <c r="Y14" s="18"/>
      <c r="Z14" s="18"/>
      <c r="AA14" s="19"/>
      <c r="AB14" s="19"/>
      <c r="AC14" s="19"/>
      <c r="AD14" s="19"/>
      <c r="AE14" s="19"/>
      <c r="AF14" s="19"/>
    </row>
    <row r="15" spans="1:35" x14ac:dyDescent="0.25">
      <c r="A15" s="52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4"/>
      <c r="S15" s="24"/>
      <c r="T15" s="19"/>
      <c r="U15" s="19"/>
      <c r="V15" s="19"/>
      <c r="W15" s="19"/>
      <c r="X15" s="19"/>
      <c r="Y15" s="18"/>
      <c r="Z15" s="18"/>
      <c r="AA15" s="19"/>
      <c r="AB15" s="19"/>
      <c r="AC15" s="19"/>
      <c r="AD15" s="19"/>
      <c r="AE15" s="19"/>
      <c r="AF15" s="19"/>
    </row>
    <row r="16" spans="1:35" x14ac:dyDescent="0.25">
      <c r="A16" s="52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4"/>
      <c r="S16" s="24"/>
      <c r="T16" s="19"/>
      <c r="U16" s="19"/>
      <c r="V16" s="19"/>
      <c r="W16" s="19"/>
      <c r="X16" s="19"/>
      <c r="Y16" s="18"/>
      <c r="Z16" s="18"/>
      <c r="AA16" s="19"/>
      <c r="AB16" s="19"/>
      <c r="AC16" s="19"/>
      <c r="AD16" s="19"/>
      <c r="AE16" s="19"/>
      <c r="AF16" s="19"/>
    </row>
    <row r="17" spans="1:32" ht="36" customHeight="1" x14ac:dyDescent="0.25">
      <c r="A17" s="196" t="s">
        <v>50</v>
      </c>
      <c r="B17" s="196"/>
      <c r="D17" s="165"/>
      <c r="E17" s="19"/>
      <c r="F17" s="198" t="s">
        <v>53</v>
      </c>
      <c r="G17" s="19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4"/>
      <c r="S17" s="16"/>
      <c r="W17" s="19"/>
      <c r="X17" s="19"/>
      <c r="Y17" s="18"/>
      <c r="Z17" s="18"/>
      <c r="AA17" s="19"/>
      <c r="AB17" s="19"/>
      <c r="AC17" s="19"/>
      <c r="AD17" s="19"/>
      <c r="AE17" s="19"/>
      <c r="AF17" s="19"/>
    </row>
    <row r="18" spans="1:32" x14ac:dyDescent="0.25">
      <c r="A18" s="52"/>
      <c r="D18" s="23" t="s">
        <v>52</v>
      </c>
      <c r="E18" s="19"/>
      <c r="F18" s="199" t="s">
        <v>54</v>
      </c>
      <c r="G18" s="19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4"/>
      <c r="S18" s="16"/>
      <c r="W18" s="19"/>
      <c r="X18" s="19"/>
      <c r="Y18" s="18"/>
      <c r="Z18" s="18"/>
      <c r="AA18" s="19"/>
      <c r="AB18" s="19"/>
      <c r="AC18" s="19"/>
      <c r="AD18" s="19"/>
      <c r="AE18" s="19"/>
      <c r="AF18" s="19"/>
    </row>
    <row r="19" spans="1:32" x14ac:dyDescent="0.25">
      <c r="A19" s="52"/>
    </row>
    <row r="20" spans="1:32" x14ac:dyDescent="0.25">
      <c r="A20" s="197" t="s">
        <v>223</v>
      </c>
      <c r="B20" s="197"/>
      <c r="C20" s="197"/>
      <c r="D20" s="197"/>
      <c r="E20" s="197"/>
      <c r="F20" s="197"/>
    </row>
    <row r="21" spans="1:32" x14ac:dyDescent="0.25">
      <c r="A21" s="166"/>
      <c r="B21" s="166"/>
      <c r="C21" s="166"/>
      <c r="D21" s="167"/>
      <c r="E21" s="167"/>
      <c r="F21" s="167"/>
    </row>
    <row r="22" spans="1:32" x14ac:dyDescent="0.25">
      <c r="A22" s="197" t="s">
        <v>51</v>
      </c>
      <c r="B22" s="197"/>
      <c r="C22" s="197"/>
      <c r="D22" s="197"/>
      <c r="E22" s="197"/>
      <c r="F22" s="167"/>
    </row>
  </sheetData>
  <mergeCells count="37">
    <mergeCell ref="W5:X5"/>
    <mergeCell ref="Q5:Q6"/>
    <mergeCell ref="R5:S5"/>
    <mergeCell ref="T5:T6"/>
    <mergeCell ref="U5:U6"/>
    <mergeCell ref="V5:V6"/>
    <mergeCell ref="K5:K6"/>
    <mergeCell ref="L5:L6"/>
    <mergeCell ref="M5:N5"/>
    <mergeCell ref="O5:O6"/>
    <mergeCell ref="P5:P6"/>
    <mergeCell ref="E5:E6"/>
    <mergeCell ref="F5:F6"/>
    <mergeCell ref="G5:G6"/>
    <mergeCell ref="H5:H6"/>
    <mergeCell ref="I5:J5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A17:B17"/>
    <mergeCell ref="A20:F20"/>
    <mergeCell ref="A22:E22"/>
    <mergeCell ref="F17:G17"/>
    <mergeCell ref="F18:G18"/>
  </mergeCells>
  <printOptions horizontalCentered="1"/>
  <pageMargins left="0.196527777777778" right="0.196527777777778" top="0.94513888888888897" bottom="0.15763888888888899" header="0.31527777777777799" footer="0.51180555555555496"/>
  <pageSetup paperSize="9" scale="39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38AC8"/>
    <pageSetUpPr fitToPage="1"/>
  </sheetPr>
  <dimension ref="A1:AI35"/>
  <sheetViews>
    <sheetView tabSelected="1" view="pageBreakPreview" zoomScale="70" zoomScaleNormal="70" zoomScaleSheetLayoutView="70" zoomScalePageLayoutView="85" workbookViewId="0">
      <pane xSplit="2" ySplit="7" topLeftCell="C20" activePane="bottomRight" state="frozen"/>
      <selection pane="topRight" activeCell="C1" sqref="C1"/>
      <selection pane="bottomLeft" activeCell="A7" sqref="A7"/>
      <selection pane="bottomRight" activeCell="B8" sqref="B8:B9"/>
    </sheetView>
  </sheetViews>
  <sheetFormatPr defaultRowHeight="15" x14ac:dyDescent="0.25"/>
  <cols>
    <col min="1" max="1" width="14" style="1" customWidth="1"/>
    <col min="2" max="2" width="20.85546875" style="16" customWidth="1"/>
    <col min="3" max="3" width="15.85546875" style="6" customWidth="1"/>
    <col min="4" max="4" width="9.5703125" style="169" customWidth="1"/>
    <col min="5" max="5" width="13.42578125" style="17" customWidth="1"/>
    <col min="6" max="6" width="13.7109375" style="6" customWidth="1"/>
    <col min="7" max="7" width="11.28515625" style="6" customWidth="1"/>
    <col min="8" max="8" width="15.28515625" style="6" customWidth="1"/>
    <col min="9" max="9" width="11" style="6" customWidth="1"/>
    <col min="10" max="10" width="11.85546875" style="6" customWidth="1"/>
    <col min="11" max="11" width="11.5703125" style="6" customWidth="1"/>
    <col min="12" max="12" width="12" style="6" customWidth="1"/>
    <col min="13" max="14" width="6.85546875" style="6" customWidth="1"/>
    <col min="15" max="15" width="13.5703125" style="6" customWidth="1"/>
    <col min="16" max="16" width="12.28515625" style="6" customWidth="1"/>
    <col min="17" max="17" width="14.5703125" style="6" customWidth="1"/>
    <col min="18" max="18" width="11.140625" style="170" customWidth="1"/>
    <col min="19" max="19" width="11.42578125" style="170" customWidth="1"/>
    <col min="20" max="20" width="12.28515625" style="6" customWidth="1"/>
    <col min="21" max="21" width="12.7109375" style="6" customWidth="1"/>
    <col min="22" max="22" width="11.85546875" style="6" bestFit="1" customWidth="1"/>
    <col min="23" max="24" width="7" style="6" customWidth="1"/>
    <col min="25" max="25" width="13.5703125" style="20" customWidth="1"/>
    <col min="26" max="26" width="11.140625" style="20" customWidth="1"/>
    <col min="27" max="27" width="15.28515625" style="6" customWidth="1"/>
    <col min="28" max="28" width="11.140625" style="6" customWidth="1"/>
    <col min="29" max="29" width="11.7109375" style="6" customWidth="1"/>
    <col min="30" max="30" width="13.140625" style="6" customWidth="1"/>
    <col min="31" max="31" width="10.5703125" style="6" hidden="1" customWidth="1"/>
    <col min="32" max="32" width="25.28515625" style="16" hidden="1" customWidth="1"/>
    <col min="33" max="33" width="9.85546875" style="6" hidden="1" customWidth="1"/>
    <col min="34" max="34" width="11.42578125" style="6" hidden="1" customWidth="1"/>
    <col min="35" max="35" width="12.140625" style="6" hidden="1" customWidth="1"/>
    <col min="36" max="1025" width="8.85546875" style="6" customWidth="1"/>
    <col min="1026" max="16384" width="9.140625" style="6"/>
  </cols>
  <sheetData>
    <row r="1" spans="1:35" ht="32.1" customHeight="1" x14ac:dyDescent="0.25">
      <c r="A1" s="271" t="s">
        <v>217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</row>
    <row r="2" spans="1:35" ht="20.25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s="16" customFormat="1" ht="29.25" customHeight="1" x14ac:dyDescent="0.25">
      <c r="A3" s="201" t="s">
        <v>0</v>
      </c>
      <c r="B3" s="201" t="s">
        <v>1</v>
      </c>
      <c r="C3" s="201" t="s">
        <v>2</v>
      </c>
      <c r="D3" s="201" t="s">
        <v>3</v>
      </c>
      <c r="E3" s="201" t="s">
        <v>4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2" t="s">
        <v>230</v>
      </c>
      <c r="Z3" s="202"/>
      <c r="AA3" s="202"/>
      <c r="AB3" s="202"/>
      <c r="AC3" s="202"/>
      <c r="AD3" s="201" t="s">
        <v>210</v>
      </c>
      <c r="AE3" s="201" t="s">
        <v>5</v>
      </c>
      <c r="AF3" s="201" t="s">
        <v>231</v>
      </c>
      <c r="AG3" s="201"/>
      <c r="AH3" s="201"/>
      <c r="AI3" s="201"/>
    </row>
    <row r="4" spans="1:35" s="16" customFormat="1" ht="17.649999999999999" customHeight="1" x14ac:dyDescent="0.25">
      <c r="A4" s="201"/>
      <c r="B4" s="201"/>
      <c r="C4" s="201"/>
      <c r="D4" s="201"/>
      <c r="E4" s="203" t="s">
        <v>6</v>
      </c>
      <c r="F4" s="203"/>
      <c r="G4" s="203"/>
      <c r="H4" s="203"/>
      <c r="I4" s="203"/>
      <c r="J4" s="203"/>
      <c r="K4" s="203"/>
      <c r="L4" s="203"/>
      <c r="M4" s="203"/>
      <c r="N4" s="203"/>
      <c r="O4" s="204" t="s">
        <v>209</v>
      </c>
      <c r="P4" s="204"/>
      <c r="Q4" s="204"/>
      <c r="R4" s="204"/>
      <c r="S4" s="204"/>
      <c r="T4" s="204"/>
      <c r="U4" s="204"/>
      <c r="V4" s="204"/>
      <c r="W4" s="204"/>
      <c r="X4" s="204"/>
      <c r="Y4" s="205" t="s">
        <v>7</v>
      </c>
      <c r="Z4" s="205" t="s">
        <v>8</v>
      </c>
      <c r="AA4" s="205" t="s">
        <v>9</v>
      </c>
      <c r="AB4" s="205" t="s">
        <v>10</v>
      </c>
      <c r="AC4" s="205"/>
      <c r="AD4" s="201"/>
      <c r="AE4" s="201"/>
      <c r="AF4" s="201"/>
      <c r="AG4" s="201"/>
      <c r="AH4" s="201"/>
      <c r="AI4" s="201"/>
    </row>
    <row r="5" spans="1:35" s="16" customFormat="1" ht="108" customHeight="1" x14ac:dyDescent="0.25">
      <c r="A5" s="201"/>
      <c r="B5" s="201"/>
      <c r="C5" s="201"/>
      <c r="D5" s="201"/>
      <c r="E5" s="205" t="s">
        <v>11</v>
      </c>
      <c r="F5" s="205" t="s">
        <v>12</v>
      </c>
      <c r="G5" s="205" t="s">
        <v>13</v>
      </c>
      <c r="H5" s="205" t="s">
        <v>14</v>
      </c>
      <c r="I5" s="205" t="s">
        <v>15</v>
      </c>
      <c r="J5" s="205"/>
      <c r="K5" s="205" t="s">
        <v>16</v>
      </c>
      <c r="L5" s="205" t="s">
        <v>17</v>
      </c>
      <c r="M5" s="205" t="s">
        <v>18</v>
      </c>
      <c r="N5" s="205"/>
      <c r="O5" s="205" t="s">
        <v>19</v>
      </c>
      <c r="P5" s="205" t="s">
        <v>20</v>
      </c>
      <c r="Q5" s="205" t="s">
        <v>21</v>
      </c>
      <c r="R5" s="205" t="s">
        <v>22</v>
      </c>
      <c r="S5" s="205"/>
      <c r="T5" s="205" t="s">
        <v>56</v>
      </c>
      <c r="U5" s="205" t="s">
        <v>23</v>
      </c>
      <c r="V5" s="205" t="s">
        <v>24</v>
      </c>
      <c r="W5" s="205" t="s">
        <v>18</v>
      </c>
      <c r="X5" s="205"/>
      <c r="Y5" s="205"/>
      <c r="Z5" s="205"/>
      <c r="AA5" s="205"/>
      <c r="AB5" s="205"/>
      <c r="AC5" s="205"/>
      <c r="AD5" s="201"/>
      <c r="AE5" s="201"/>
      <c r="AF5" s="201"/>
      <c r="AG5" s="201"/>
      <c r="AH5" s="201"/>
      <c r="AI5" s="201"/>
    </row>
    <row r="6" spans="1:35" s="16" customFormat="1" ht="91.5" customHeight="1" x14ac:dyDescent="0.25">
      <c r="A6" s="201"/>
      <c r="B6" s="201"/>
      <c r="C6" s="201"/>
      <c r="D6" s="201"/>
      <c r="E6" s="205"/>
      <c r="F6" s="205"/>
      <c r="G6" s="205"/>
      <c r="H6" s="205"/>
      <c r="I6" s="2" t="s">
        <v>25</v>
      </c>
      <c r="J6" s="3" t="s">
        <v>26</v>
      </c>
      <c r="K6" s="205"/>
      <c r="L6" s="205"/>
      <c r="M6" s="2" t="s">
        <v>27</v>
      </c>
      <c r="N6" s="3" t="s">
        <v>28</v>
      </c>
      <c r="O6" s="205"/>
      <c r="P6" s="205"/>
      <c r="Q6" s="205"/>
      <c r="R6" s="2" t="s">
        <v>29</v>
      </c>
      <c r="S6" s="3" t="s">
        <v>26</v>
      </c>
      <c r="T6" s="205"/>
      <c r="U6" s="205"/>
      <c r="V6" s="205"/>
      <c r="W6" s="2" t="s">
        <v>27</v>
      </c>
      <c r="X6" s="3" t="s">
        <v>28</v>
      </c>
      <c r="Y6" s="205"/>
      <c r="Z6" s="205"/>
      <c r="AA6" s="205"/>
      <c r="AB6" s="4" t="s">
        <v>25</v>
      </c>
      <c r="AC6" s="4" t="s">
        <v>26</v>
      </c>
      <c r="AD6" s="201"/>
      <c r="AE6" s="201"/>
      <c r="AF6" s="4" t="s">
        <v>30</v>
      </c>
      <c r="AG6" s="4" t="s">
        <v>232</v>
      </c>
      <c r="AH6" s="4" t="s">
        <v>233</v>
      </c>
      <c r="AI6" s="4" t="s">
        <v>31</v>
      </c>
    </row>
    <row r="7" spans="1:35" x14ac:dyDescent="0.25">
      <c r="A7" s="69">
        <v>1</v>
      </c>
      <c r="B7" s="69">
        <v>2</v>
      </c>
      <c r="C7" s="69">
        <v>3</v>
      </c>
      <c r="D7" s="68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  <c r="T7" s="69">
        <v>20</v>
      </c>
      <c r="U7" s="69">
        <v>21</v>
      </c>
      <c r="V7" s="69">
        <v>22</v>
      </c>
      <c r="W7" s="69">
        <v>23</v>
      </c>
      <c r="X7" s="69">
        <v>24</v>
      </c>
      <c r="Y7" s="69">
        <v>25</v>
      </c>
      <c r="Z7" s="69">
        <v>26</v>
      </c>
      <c r="AA7" s="69">
        <v>27</v>
      </c>
      <c r="AB7" s="69">
        <v>28</v>
      </c>
      <c r="AC7" s="69">
        <v>29</v>
      </c>
      <c r="AD7" s="69">
        <v>30</v>
      </c>
      <c r="AE7" s="69">
        <v>31</v>
      </c>
      <c r="AF7" s="69">
        <v>32</v>
      </c>
      <c r="AG7" s="69">
        <v>33</v>
      </c>
      <c r="AH7" s="69">
        <v>34</v>
      </c>
      <c r="AI7" s="5">
        <v>35</v>
      </c>
    </row>
    <row r="8" spans="1:35" s="53" customFormat="1" ht="29.25" customHeight="1" x14ac:dyDescent="0.25">
      <c r="A8" s="275">
        <v>775</v>
      </c>
      <c r="B8" s="277" t="s">
        <v>38</v>
      </c>
      <c r="C8" s="245" t="s">
        <v>227</v>
      </c>
      <c r="D8" s="248">
        <v>39</v>
      </c>
      <c r="E8" s="35" t="s">
        <v>222</v>
      </c>
      <c r="F8" s="36">
        <v>8349</v>
      </c>
      <c r="G8" s="36">
        <v>8074</v>
      </c>
      <c r="H8" s="12">
        <f>(G8-F8)/F8*100</f>
        <v>-3.293807641633729</v>
      </c>
      <c r="I8" s="206">
        <v>1</v>
      </c>
      <c r="J8" s="206">
        <v>7</v>
      </c>
      <c r="K8" s="36">
        <v>8109</v>
      </c>
      <c r="L8" s="39">
        <f>K8/G8*100</f>
        <v>100.43349021550657</v>
      </c>
      <c r="M8" s="206">
        <v>1</v>
      </c>
      <c r="N8" s="206">
        <v>0</v>
      </c>
      <c r="O8" s="254">
        <v>503946800</v>
      </c>
      <c r="P8" s="254">
        <v>570679100</v>
      </c>
      <c r="Q8" s="251">
        <f>(P8-O8)/O8*100</f>
        <v>13.241933473930183</v>
      </c>
      <c r="R8" s="206">
        <v>33</v>
      </c>
      <c r="S8" s="206">
        <v>2</v>
      </c>
      <c r="T8" s="254">
        <v>570679100</v>
      </c>
      <c r="U8" s="254">
        <v>570679100</v>
      </c>
      <c r="V8" s="254">
        <f>T8/P8*100</f>
        <v>100</v>
      </c>
      <c r="W8" s="206">
        <v>0</v>
      </c>
      <c r="X8" s="206">
        <v>0</v>
      </c>
      <c r="Y8" s="191">
        <f>O8/F8</f>
        <v>60360.138938795062</v>
      </c>
      <c r="Z8" s="191">
        <f>P8/G8</f>
        <v>70681.087441169191</v>
      </c>
      <c r="AA8" s="187">
        <f>(Z8-Y8)/Y8*100</f>
        <v>17.098947556829732</v>
      </c>
      <c r="AB8" s="36">
        <v>29</v>
      </c>
      <c r="AC8" s="36">
        <v>1</v>
      </c>
      <c r="AD8" s="40">
        <f>T8-U8</f>
        <v>0</v>
      </c>
      <c r="AE8" s="40"/>
      <c r="AF8" s="36"/>
      <c r="AG8" s="36"/>
      <c r="AH8" s="36"/>
      <c r="AI8" s="38" t="e">
        <f t="shared" ref="AI8:AI9" si="0">AH8/AG8*100</f>
        <v>#DIV/0!</v>
      </c>
    </row>
    <row r="9" spans="1:35" s="53" customFormat="1" ht="42.75" customHeight="1" x14ac:dyDescent="0.25">
      <c r="A9" s="276"/>
      <c r="B9" s="278"/>
      <c r="C9" s="247"/>
      <c r="D9" s="250"/>
      <c r="E9" s="35" t="s">
        <v>220</v>
      </c>
      <c r="F9" s="36">
        <f>138*F8</f>
        <v>1152162</v>
      </c>
      <c r="G9" s="36">
        <f>G8*138</f>
        <v>1114212</v>
      </c>
      <c r="H9" s="12">
        <f>(G9-F9)/F9*100</f>
        <v>-3.293807641633729</v>
      </c>
      <c r="I9" s="279"/>
      <c r="J9" s="279"/>
      <c r="K9" s="36">
        <v>980386</v>
      </c>
      <c r="L9" s="39">
        <f>K9/G9*100</f>
        <v>87.989179797022459</v>
      </c>
      <c r="M9" s="208"/>
      <c r="N9" s="208"/>
      <c r="O9" s="280"/>
      <c r="P9" s="281"/>
      <c r="Q9" s="281"/>
      <c r="R9" s="279"/>
      <c r="S9" s="279"/>
      <c r="T9" s="281"/>
      <c r="U9" s="281"/>
      <c r="V9" s="281"/>
      <c r="W9" s="279"/>
      <c r="X9" s="279"/>
      <c r="Y9" s="191">
        <f>O8/F9</f>
        <v>437.3923111506889</v>
      </c>
      <c r="Z9" s="191">
        <f>P8/G9</f>
        <v>512.18179305195065</v>
      </c>
      <c r="AA9" s="187">
        <f>(Z9-Y9)/Y9*100</f>
        <v>17.098947556829717</v>
      </c>
      <c r="AB9" s="36">
        <v>29</v>
      </c>
      <c r="AC9" s="36">
        <v>1</v>
      </c>
      <c r="AD9" s="40">
        <f t="shared" ref="AD9:AD22" si="1">T9-U9</f>
        <v>0</v>
      </c>
      <c r="AE9" s="40"/>
      <c r="AF9" s="36"/>
      <c r="AG9" s="36"/>
      <c r="AH9" s="36"/>
      <c r="AI9" s="38" t="e">
        <f t="shared" si="0"/>
        <v>#DIV/0!</v>
      </c>
    </row>
    <row r="10" spans="1:35" s="53" customFormat="1" x14ac:dyDescent="0.25">
      <c r="A10" s="275">
        <v>775</v>
      </c>
      <c r="B10" s="277" t="s">
        <v>243</v>
      </c>
      <c r="C10" s="282" t="s">
        <v>242</v>
      </c>
      <c r="D10" s="248">
        <v>39</v>
      </c>
      <c r="E10" s="35" t="s">
        <v>222</v>
      </c>
      <c r="F10" s="36">
        <v>8349</v>
      </c>
      <c r="G10" s="36">
        <v>8074</v>
      </c>
      <c r="H10" s="12">
        <f t="shared" ref="H10:H22" si="2">(G10-F10)/F10*100</f>
        <v>-3.293807641633729</v>
      </c>
      <c r="I10" s="206">
        <v>1</v>
      </c>
      <c r="J10" s="206">
        <v>7</v>
      </c>
      <c r="K10" s="36">
        <v>8109</v>
      </c>
      <c r="L10" s="39">
        <f>K10/G10*100</f>
        <v>100.43349021550657</v>
      </c>
      <c r="M10" s="206">
        <v>0</v>
      </c>
      <c r="N10" s="206">
        <v>21</v>
      </c>
      <c r="O10" s="254">
        <v>288081000</v>
      </c>
      <c r="P10" s="254">
        <v>311067658.61000001</v>
      </c>
      <c r="Q10" s="251">
        <f t="shared" ref="Q10:Q20" si="3">(P10-O10)/O10*100</f>
        <v>7.9792345243178184</v>
      </c>
      <c r="R10" s="206">
        <v>18</v>
      </c>
      <c r="S10" s="206">
        <v>3</v>
      </c>
      <c r="T10" s="254">
        <v>301656769.62</v>
      </c>
      <c r="U10" s="254">
        <v>301656769.62</v>
      </c>
      <c r="V10" s="254">
        <f>T10/P10*100</f>
        <v>96.974648849047057</v>
      </c>
      <c r="W10" s="206">
        <v>0</v>
      </c>
      <c r="X10" s="206">
        <v>0</v>
      </c>
      <c r="Y10" s="191">
        <f>O10/F10</f>
        <v>34504.850880344951</v>
      </c>
      <c r="Z10" s="191">
        <f>P10/G10</f>
        <v>38527.08181942036</v>
      </c>
      <c r="AA10" s="187">
        <f>(Z10-Y10)/Y10*100</f>
        <v>11.657001367789126</v>
      </c>
      <c r="AB10" s="36">
        <v>20</v>
      </c>
      <c r="AC10" s="36">
        <v>2</v>
      </c>
      <c r="AD10" s="40">
        <f t="shared" si="1"/>
        <v>0</v>
      </c>
      <c r="AE10" s="40"/>
      <c r="AF10" s="36"/>
      <c r="AG10" s="36"/>
      <c r="AH10" s="36"/>
      <c r="AI10" s="38" t="e">
        <f t="shared" ref="AI10:AI22" si="4">AH10/AG10*100</f>
        <v>#DIV/0!</v>
      </c>
    </row>
    <row r="11" spans="1:35" s="53" customFormat="1" ht="30" customHeight="1" x14ac:dyDescent="0.25">
      <c r="A11" s="276"/>
      <c r="B11" s="278"/>
      <c r="C11" s="283"/>
      <c r="D11" s="250"/>
      <c r="E11" s="35" t="s">
        <v>220</v>
      </c>
      <c r="F11" s="36">
        <f>138*F10</f>
        <v>1152162</v>
      </c>
      <c r="G11" s="36">
        <f>G10*138</f>
        <v>1114212</v>
      </c>
      <c r="H11" s="12">
        <f t="shared" si="2"/>
        <v>-3.293807641633729</v>
      </c>
      <c r="I11" s="279"/>
      <c r="J11" s="279"/>
      <c r="K11" s="36">
        <v>980386</v>
      </c>
      <c r="L11" s="39">
        <f t="shared" ref="L11:L22" si="5">K11/G11*100</f>
        <v>87.989179797022459</v>
      </c>
      <c r="M11" s="208"/>
      <c r="N11" s="208"/>
      <c r="O11" s="281"/>
      <c r="P11" s="281"/>
      <c r="Q11" s="281"/>
      <c r="R11" s="279"/>
      <c r="S11" s="279"/>
      <c r="T11" s="281"/>
      <c r="U11" s="281"/>
      <c r="V11" s="281"/>
      <c r="W11" s="279"/>
      <c r="X11" s="279"/>
      <c r="Y11" s="191">
        <f>O10/F11</f>
        <v>250.03515130684747</v>
      </c>
      <c r="Z11" s="191">
        <f>P10/G11</f>
        <v>279.18175231464033</v>
      </c>
      <c r="AA11" s="187">
        <f t="shared" ref="AA11:AA22" si="6">(Z11-Y11)/Y11*100</f>
        <v>11.657001367789146</v>
      </c>
      <c r="AB11" s="36">
        <v>20</v>
      </c>
      <c r="AC11" s="36">
        <v>2</v>
      </c>
      <c r="AD11" s="40">
        <f t="shared" si="1"/>
        <v>0</v>
      </c>
      <c r="AE11" s="40"/>
      <c r="AF11" s="36"/>
      <c r="AG11" s="36"/>
      <c r="AH11" s="36"/>
      <c r="AI11" s="38" t="e">
        <f t="shared" si="4"/>
        <v>#DIV/0!</v>
      </c>
    </row>
    <row r="12" spans="1:35" s="53" customFormat="1" ht="63" customHeight="1" x14ac:dyDescent="0.25">
      <c r="A12" s="181">
        <v>775</v>
      </c>
      <c r="B12" s="174" t="s">
        <v>35</v>
      </c>
      <c r="C12" s="33" t="s">
        <v>227</v>
      </c>
      <c r="D12" s="34">
        <v>18</v>
      </c>
      <c r="E12" s="175" t="s">
        <v>101</v>
      </c>
      <c r="F12" s="36">
        <v>6760</v>
      </c>
      <c r="G12" s="36">
        <v>6758</v>
      </c>
      <c r="H12" s="12">
        <f t="shared" si="2"/>
        <v>-2.9585798816568049E-2</v>
      </c>
      <c r="I12" s="36">
        <v>1</v>
      </c>
      <c r="J12" s="36">
        <v>0</v>
      </c>
      <c r="K12" s="36">
        <v>6758</v>
      </c>
      <c r="L12" s="39">
        <f t="shared" si="5"/>
        <v>100</v>
      </c>
      <c r="M12" s="36">
        <v>0</v>
      </c>
      <c r="N12" s="36">
        <v>0</v>
      </c>
      <c r="O12" s="182">
        <v>276887230</v>
      </c>
      <c r="P12" s="182">
        <v>289950308.92000002</v>
      </c>
      <c r="Q12" s="183">
        <f t="shared" si="3"/>
        <v>4.7178336537947301</v>
      </c>
      <c r="R12" s="36">
        <v>0</v>
      </c>
      <c r="S12" s="36">
        <v>0</v>
      </c>
      <c r="T12" s="182">
        <v>286795649.5</v>
      </c>
      <c r="U12" s="182">
        <v>286795649.5</v>
      </c>
      <c r="V12" s="182">
        <f>T12/P12*100</f>
        <v>98.911999979668792</v>
      </c>
      <c r="W12" s="36">
        <v>0</v>
      </c>
      <c r="X12" s="36">
        <v>0</v>
      </c>
      <c r="Y12" s="191">
        <f t="shared" ref="Y12:Z14" si="7">O12/F12</f>
        <v>40959.649408284022</v>
      </c>
      <c r="Z12" s="191">
        <f t="shared" si="7"/>
        <v>42904.751245930755</v>
      </c>
      <c r="AA12" s="187">
        <f t="shared" si="6"/>
        <v>4.7488244302533973</v>
      </c>
      <c r="AB12" s="36">
        <v>0</v>
      </c>
      <c r="AC12" s="36">
        <v>0</v>
      </c>
      <c r="AD12" s="40">
        <f t="shared" si="1"/>
        <v>0</v>
      </c>
      <c r="AE12" s="40"/>
      <c r="AF12" s="36"/>
      <c r="AG12" s="36"/>
      <c r="AH12" s="36"/>
      <c r="AI12" s="38" t="e">
        <f t="shared" si="4"/>
        <v>#DIV/0!</v>
      </c>
    </row>
    <row r="13" spans="1:35" s="53" customFormat="1" ht="63" customHeight="1" x14ac:dyDescent="0.25">
      <c r="A13" s="181">
        <v>775</v>
      </c>
      <c r="B13" s="174" t="s">
        <v>36</v>
      </c>
      <c r="C13" s="33" t="s">
        <v>227</v>
      </c>
      <c r="D13" s="34">
        <v>18</v>
      </c>
      <c r="E13" s="175" t="s">
        <v>101</v>
      </c>
      <c r="F13" s="36">
        <v>6917</v>
      </c>
      <c r="G13" s="36">
        <v>7187</v>
      </c>
      <c r="H13" s="12">
        <f t="shared" si="2"/>
        <v>3.9034263408992338</v>
      </c>
      <c r="I13" s="36">
        <v>1</v>
      </c>
      <c r="J13" s="36">
        <v>0</v>
      </c>
      <c r="K13" s="36">
        <v>7187</v>
      </c>
      <c r="L13" s="39">
        <f t="shared" si="5"/>
        <v>100</v>
      </c>
      <c r="M13" s="36">
        <v>0</v>
      </c>
      <c r="N13" s="36">
        <v>0</v>
      </c>
      <c r="O13" s="182">
        <v>350403200</v>
      </c>
      <c r="P13" s="182">
        <v>383635223.69999999</v>
      </c>
      <c r="Q13" s="183">
        <f t="shared" si="3"/>
        <v>9.4839384172290622</v>
      </c>
      <c r="R13" s="36">
        <v>0</v>
      </c>
      <c r="S13" s="36">
        <v>0</v>
      </c>
      <c r="T13" s="182">
        <v>379461671.5</v>
      </c>
      <c r="U13" s="182">
        <v>379461671.5</v>
      </c>
      <c r="V13" s="182">
        <f>T13/P13*100</f>
        <v>98.912104013873432</v>
      </c>
      <c r="W13" s="36">
        <v>0</v>
      </c>
      <c r="X13" s="36">
        <v>0</v>
      </c>
      <c r="Y13" s="191">
        <f t="shared" si="7"/>
        <v>50658.262252421569</v>
      </c>
      <c r="Z13" s="191">
        <f t="shared" si="7"/>
        <v>53379.048796438008</v>
      </c>
      <c r="AA13" s="187">
        <f t="shared" si="6"/>
        <v>5.3708643428375389</v>
      </c>
      <c r="AB13" s="36">
        <v>0</v>
      </c>
      <c r="AC13" s="36">
        <v>0</v>
      </c>
      <c r="AD13" s="40">
        <f t="shared" si="1"/>
        <v>0</v>
      </c>
      <c r="AE13" s="40"/>
      <c r="AF13" s="36"/>
      <c r="AG13" s="36"/>
      <c r="AH13" s="36"/>
      <c r="AI13" s="38" t="e">
        <f t="shared" si="4"/>
        <v>#DIV/0!</v>
      </c>
    </row>
    <row r="14" spans="1:35" s="53" customFormat="1" ht="60" x14ac:dyDescent="0.25">
      <c r="A14" s="181">
        <v>775</v>
      </c>
      <c r="B14" s="174" t="s">
        <v>37</v>
      </c>
      <c r="C14" s="33" t="s">
        <v>227</v>
      </c>
      <c r="D14" s="34">
        <v>16</v>
      </c>
      <c r="E14" s="175" t="s">
        <v>101</v>
      </c>
      <c r="F14" s="36">
        <v>1052</v>
      </c>
      <c r="G14" s="36">
        <v>972</v>
      </c>
      <c r="H14" s="12">
        <f t="shared" si="2"/>
        <v>-7.6045627376425857</v>
      </c>
      <c r="I14" s="36">
        <v>3</v>
      </c>
      <c r="J14" s="36">
        <v>7</v>
      </c>
      <c r="K14" s="36">
        <v>972</v>
      </c>
      <c r="L14" s="39">
        <f t="shared" si="5"/>
        <v>100</v>
      </c>
      <c r="M14" s="36">
        <v>0</v>
      </c>
      <c r="N14" s="36">
        <v>0</v>
      </c>
      <c r="O14" s="182">
        <v>59774670</v>
      </c>
      <c r="P14" s="182">
        <v>57907290</v>
      </c>
      <c r="Q14" s="183">
        <f>(P14-O14)/O14*100</f>
        <v>-3.1240323033150998</v>
      </c>
      <c r="R14" s="36">
        <v>0</v>
      </c>
      <c r="S14" s="36">
        <v>0</v>
      </c>
      <c r="T14" s="182">
        <v>57277258.700000003</v>
      </c>
      <c r="U14" s="182">
        <v>57277258.700000003</v>
      </c>
      <c r="V14" s="182">
        <f t="shared" ref="V14:V22" si="8">T14/P14*100</f>
        <v>98.912000026248862</v>
      </c>
      <c r="W14" s="36">
        <v>0</v>
      </c>
      <c r="X14" s="36">
        <v>0</v>
      </c>
      <c r="Y14" s="191">
        <f t="shared" si="7"/>
        <v>56820.028517110266</v>
      </c>
      <c r="Z14" s="191">
        <f t="shared" si="7"/>
        <v>59575.4012345679</v>
      </c>
      <c r="AA14" s="187">
        <f t="shared" si="6"/>
        <v>4.8492983713091711</v>
      </c>
      <c r="AB14" s="36">
        <v>0</v>
      </c>
      <c r="AC14" s="36">
        <v>0</v>
      </c>
      <c r="AD14" s="40">
        <f t="shared" si="1"/>
        <v>0</v>
      </c>
      <c r="AE14" s="40"/>
      <c r="AF14" s="36"/>
      <c r="AG14" s="36"/>
      <c r="AH14" s="36"/>
      <c r="AI14" s="38" t="e">
        <f t="shared" si="4"/>
        <v>#DIV/0!</v>
      </c>
    </row>
    <row r="15" spans="1:35" s="53" customFormat="1" ht="75" x14ac:dyDescent="0.25">
      <c r="A15" s="181">
        <v>775</v>
      </c>
      <c r="B15" s="174" t="s">
        <v>55</v>
      </c>
      <c r="C15" s="33" t="s">
        <v>227</v>
      </c>
      <c r="D15" s="34">
        <v>6</v>
      </c>
      <c r="E15" s="176" t="s">
        <v>89</v>
      </c>
      <c r="F15" s="36">
        <v>286677076</v>
      </c>
      <c r="G15" s="36">
        <v>275763821</v>
      </c>
      <c r="H15" s="12">
        <f t="shared" si="2"/>
        <v>-3.8068111870933135</v>
      </c>
      <c r="I15" s="36">
        <v>0</v>
      </c>
      <c r="J15" s="36">
        <v>4</v>
      </c>
      <c r="K15" s="36">
        <v>275763821</v>
      </c>
      <c r="L15" s="39">
        <f t="shared" si="5"/>
        <v>100</v>
      </c>
      <c r="M15" s="36">
        <v>0</v>
      </c>
      <c r="N15" s="36">
        <v>0</v>
      </c>
      <c r="O15" s="182">
        <v>141472100</v>
      </c>
      <c r="P15" s="182">
        <v>129752314.61</v>
      </c>
      <c r="Q15" s="183">
        <f t="shared" si="3"/>
        <v>-8.2841672598342715</v>
      </c>
      <c r="R15" s="36">
        <v>0</v>
      </c>
      <c r="S15" s="36">
        <v>0</v>
      </c>
      <c r="T15" s="182">
        <v>128924853.78</v>
      </c>
      <c r="U15" s="182">
        <v>128924853.78</v>
      </c>
      <c r="V15" s="182">
        <f t="shared" si="8"/>
        <v>99.362276632607973</v>
      </c>
      <c r="W15" s="36">
        <v>0</v>
      </c>
      <c r="X15" s="36">
        <v>0</v>
      </c>
      <c r="Y15" s="191">
        <f>O15/F15</f>
        <v>0.49348940617770221</v>
      </c>
      <c r="Z15" s="191">
        <f>P15/G15</f>
        <v>0.47051971552860083</v>
      </c>
      <c r="AA15" s="187">
        <f t="shared" si="6"/>
        <v>-4.6545458446640167</v>
      </c>
      <c r="AB15" s="36">
        <v>0</v>
      </c>
      <c r="AC15" s="36">
        <v>0</v>
      </c>
      <c r="AD15" s="40">
        <f t="shared" si="1"/>
        <v>0</v>
      </c>
      <c r="AE15" s="40"/>
      <c r="AF15" s="36"/>
      <c r="AG15" s="36"/>
      <c r="AH15" s="36"/>
      <c r="AI15" s="38" t="e">
        <f t="shared" si="4"/>
        <v>#DIV/0!</v>
      </c>
    </row>
    <row r="16" spans="1:35" s="53" customFormat="1" ht="15" customHeight="1" x14ac:dyDescent="0.25">
      <c r="A16" s="275">
        <v>775</v>
      </c>
      <c r="B16" s="285" t="s">
        <v>113</v>
      </c>
      <c r="C16" s="245" t="s">
        <v>242</v>
      </c>
      <c r="D16" s="248">
        <v>19</v>
      </c>
      <c r="E16" s="176" t="s">
        <v>89</v>
      </c>
      <c r="F16" s="36">
        <v>825706</v>
      </c>
      <c r="G16" s="36">
        <v>825706</v>
      </c>
      <c r="H16" s="12">
        <f t="shared" si="2"/>
        <v>0</v>
      </c>
      <c r="I16" s="206">
        <v>0</v>
      </c>
      <c r="J16" s="206">
        <v>0</v>
      </c>
      <c r="K16" s="36">
        <v>597268</v>
      </c>
      <c r="L16" s="39">
        <f t="shared" si="5"/>
        <v>72.334220654809329</v>
      </c>
      <c r="M16" s="206">
        <v>0</v>
      </c>
      <c r="N16" s="206">
        <v>0</v>
      </c>
      <c r="O16" s="254">
        <v>2983000</v>
      </c>
      <c r="P16" s="254">
        <v>2590725.06</v>
      </c>
      <c r="Q16" s="251">
        <f>(P16-O16)/O16*100</f>
        <v>-13.15034998323835</v>
      </c>
      <c r="R16" s="206">
        <v>0</v>
      </c>
      <c r="S16" s="206">
        <v>5</v>
      </c>
      <c r="T16" s="254">
        <v>2574839.98</v>
      </c>
      <c r="U16" s="251">
        <v>2574839.98</v>
      </c>
      <c r="V16" s="254">
        <f>T16/P16*100</f>
        <v>99.386848097265869</v>
      </c>
      <c r="W16" s="206">
        <v>0</v>
      </c>
      <c r="X16" s="206">
        <v>0</v>
      </c>
      <c r="Y16" s="263">
        <v>28942135.399999999</v>
      </c>
      <c r="Z16" s="263">
        <v>28942135.399999999</v>
      </c>
      <c r="AA16" s="257">
        <f>(Z16-Y16)/Y16*100</f>
        <v>0</v>
      </c>
      <c r="AB16" s="206">
        <v>0</v>
      </c>
      <c r="AC16" s="206">
        <v>0</v>
      </c>
      <c r="AD16" s="212">
        <f>T16-U16</f>
        <v>0</v>
      </c>
      <c r="AE16" s="212"/>
      <c r="AF16" s="212"/>
      <c r="AG16" s="212"/>
      <c r="AH16" s="212"/>
      <c r="AI16" s="38" t="e">
        <f t="shared" si="4"/>
        <v>#DIV/0!</v>
      </c>
    </row>
    <row r="17" spans="1:35" s="53" customFormat="1" x14ac:dyDescent="0.25">
      <c r="A17" s="284"/>
      <c r="B17" s="286"/>
      <c r="C17" s="246"/>
      <c r="D17" s="249"/>
      <c r="E17" s="176" t="s">
        <v>101</v>
      </c>
      <c r="F17" s="36">
        <v>6393</v>
      </c>
      <c r="G17" s="36">
        <v>6393</v>
      </c>
      <c r="H17" s="12">
        <f t="shared" si="2"/>
        <v>0</v>
      </c>
      <c r="I17" s="207"/>
      <c r="J17" s="207"/>
      <c r="K17" s="36">
        <v>4030</v>
      </c>
      <c r="L17" s="39">
        <f t="shared" si="5"/>
        <v>63.037697481620526</v>
      </c>
      <c r="M17" s="207"/>
      <c r="N17" s="207"/>
      <c r="O17" s="255"/>
      <c r="P17" s="255"/>
      <c r="Q17" s="252"/>
      <c r="R17" s="207"/>
      <c r="S17" s="207"/>
      <c r="T17" s="255"/>
      <c r="U17" s="252"/>
      <c r="V17" s="255"/>
      <c r="W17" s="207"/>
      <c r="X17" s="207"/>
      <c r="Y17" s="264"/>
      <c r="Z17" s="264"/>
      <c r="AA17" s="258"/>
      <c r="AB17" s="207"/>
      <c r="AC17" s="207"/>
      <c r="AD17" s="213"/>
      <c r="AE17" s="213"/>
      <c r="AF17" s="213"/>
      <c r="AG17" s="213"/>
      <c r="AH17" s="213"/>
      <c r="AI17" s="38" t="e">
        <f t="shared" si="4"/>
        <v>#DIV/0!</v>
      </c>
    </row>
    <row r="18" spans="1:35" s="53" customFormat="1" ht="30" x14ac:dyDescent="0.25">
      <c r="A18" s="276"/>
      <c r="B18" s="287"/>
      <c r="C18" s="247"/>
      <c r="D18" s="250"/>
      <c r="E18" s="176" t="s">
        <v>220</v>
      </c>
      <c r="F18" s="36">
        <v>101507</v>
      </c>
      <c r="G18" s="36">
        <v>101507</v>
      </c>
      <c r="H18" s="12">
        <f t="shared" si="2"/>
        <v>0</v>
      </c>
      <c r="I18" s="208"/>
      <c r="J18" s="208"/>
      <c r="K18" s="36">
        <v>64582</v>
      </c>
      <c r="L18" s="39">
        <f t="shared" si="5"/>
        <v>63.62319840011034</v>
      </c>
      <c r="M18" s="208"/>
      <c r="N18" s="208"/>
      <c r="O18" s="256"/>
      <c r="P18" s="256"/>
      <c r="Q18" s="253"/>
      <c r="R18" s="208"/>
      <c r="S18" s="208"/>
      <c r="T18" s="256"/>
      <c r="U18" s="253"/>
      <c r="V18" s="256"/>
      <c r="W18" s="208"/>
      <c r="X18" s="208"/>
      <c r="Y18" s="265"/>
      <c r="Z18" s="265"/>
      <c r="AA18" s="259"/>
      <c r="AB18" s="208"/>
      <c r="AC18" s="208"/>
      <c r="AD18" s="214"/>
      <c r="AE18" s="214"/>
      <c r="AF18" s="214"/>
      <c r="AG18" s="214"/>
      <c r="AH18" s="214"/>
      <c r="AI18" s="38" t="e">
        <f t="shared" si="4"/>
        <v>#DIV/0!</v>
      </c>
    </row>
    <row r="19" spans="1:35" s="53" customFormat="1" ht="45" x14ac:dyDescent="0.25">
      <c r="A19" s="194">
        <v>775</v>
      </c>
      <c r="B19" s="174" t="s">
        <v>118</v>
      </c>
      <c r="C19" s="33" t="s">
        <v>227</v>
      </c>
      <c r="D19" s="34">
        <v>2</v>
      </c>
      <c r="E19" s="176" t="s">
        <v>89</v>
      </c>
      <c r="F19" s="36">
        <v>4265500</v>
      </c>
      <c r="G19" s="36">
        <v>4265500</v>
      </c>
      <c r="H19" s="12">
        <f t="shared" si="2"/>
        <v>0</v>
      </c>
      <c r="I19" s="36">
        <v>0</v>
      </c>
      <c r="J19" s="36">
        <v>0</v>
      </c>
      <c r="K19" s="36">
        <v>4265500</v>
      </c>
      <c r="L19" s="39">
        <f t="shared" si="5"/>
        <v>100</v>
      </c>
      <c r="M19" s="36">
        <v>0</v>
      </c>
      <c r="N19" s="36">
        <v>0</v>
      </c>
      <c r="O19" s="182">
        <f>16873300+500000</f>
        <v>17373300</v>
      </c>
      <c r="P19" s="182">
        <f>16413477.5-139000+149200</f>
        <v>16423677.5</v>
      </c>
      <c r="Q19" s="183">
        <f t="shared" si="3"/>
        <v>-5.4659880391174962</v>
      </c>
      <c r="R19" s="36">
        <v>0</v>
      </c>
      <c r="S19" s="36">
        <v>0</v>
      </c>
      <c r="T19" s="182">
        <f>16116020.7+139000</f>
        <v>16255020.699999999</v>
      </c>
      <c r="U19" s="182">
        <f>16116020.7+139000</f>
        <v>16255020.699999999</v>
      </c>
      <c r="V19" s="182">
        <f t="shared" si="8"/>
        <v>98.973087482995197</v>
      </c>
      <c r="W19" s="36">
        <v>0</v>
      </c>
      <c r="X19" s="36">
        <v>0</v>
      </c>
      <c r="Y19" s="191">
        <f>O19/F19</f>
        <v>4.0729808932129883</v>
      </c>
      <c r="Z19" s="191">
        <f>P19/G19</f>
        <v>3.8503522447544252</v>
      </c>
      <c r="AA19" s="187">
        <f t="shared" si="6"/>
        <v>-5.4659880391175015</v>
      </c>
      <c r="AB19" s="36">
        <v>0</v>
      </c>
      <c r="AC19" s="36">
        <v>0</v>
      </c>
      <c r="AD19" s="40">
        <f t="shared" si="1"/>
        <v>0</v>
      </c>
      <c r="AE19" s="40"/>
      <c r="AF19" s="36"/>
      <c r="AG19" s="36"/>
      <c r="AH19" s="36"/>
      <c r="AI19" s="38" t="e">
        <f t="shared" si="4"/>
        <v>#DIV/0!</v>
      </c>
    </row>
    <row r="20" spans="1:35" s="53" customFormat="1" ht="43.5" customHeight="1" x14ac:dyDescent="0.25">
      <c r="A20" s="288">
        <v>775</v>
      </c>
      <c r="B20" s="285" t="s">
        <v>120</v>
      </c>
      <c r="C20" s="245" t="s">
        <v>227</v>
      </c>
      <c r="D20" s="248">
        <v>1</v>
      </c>
      <c r="E20" s="35" t="s">
        <v>101</v>
      </c>
      <c r="F20" s="36">
        <v>150</v>
      </c>
      <c r="G20" s="36">
        <v>150</v>
      </c>
      <c r="H20" s="12">
        <f t="shared" si="2"/>
        <v>0</v>
      </c>
      <c r="I20" s="206">
        <v>0</v>
      </c>
      <c r="J20" s="206">
        <v>0</v>
      </c>
      <c r="K20" s="36">
        <v>150</v>
      </c>
      <c r="L20" s="180">
        <f t="shared" si="5"/>
        <v>100</v>
      </c>
      <c r="M20" s="36">
        <v>0</v>
      </c>
      <c r="N20" s="36">
        <v>0</v>
      </c>
      <c r="O20" s="254">
        <v>774606</v>
      </c>
      <c r="P20" s="254">
        <v>712637.5</v>
      </c>
      <c r="Q20" s="251">
        <f t="shared" si="3"/>
        <v>-8.0000025819577942</v>
      </c>
      <c r="R20" s="206">
        <v>0</v>
      </c>
      <c r="S20" s="206">
        <v>0</v>
      </c>
      <c r="T20" s="254">
        <v>685151.3</v>
      </c>
      <c r="U20" s="254">
        <v>685151.3</v>
      </c>
      <c r="V20" s="254">
        <f t="shared" si="8"/>
        <v>96.143032046447189</v>
      </c>
      <c r="W20" s="206">
        <v>0</v>
      </c>
      <c r="X20" s="206">
        <v>0</v>
      </c>
      <c r="Y20" s="263">
        <f>O20/F20</f>
        <v>5164.04</v>
      </c>
      <c r="Z20" s="263">
        <f>P20/G20</f>
        <v>4750.916666666667</v>
      </c>
      <c r="AA20" s="257">
        <f t="shared" si="6"/>
        <v>-8.0000025819577889</v>
      </c>
      <c r="AB20" s="206">
        <v>0</v>
      </c>
      <c r="AC20" s="206">
        <v>0</v>
      </c>
      <c r="AD20" s="212">
        <f t="shared" si="1"/>
        <v>0</v>
      </c>
      <c r="AE20" s="212"/>
      <c r="AF20" s="212"/>
      <c r="AG20" s="212"/>
      <c r="AH20" s="212"/>
      <c r="AI20" s="38" t="e">
        <f t="shared" si="4"/>
        <v>#DIV/0!</v>
      </c>
    </row>
    <row r="21" spans="1:35" s="53" customFormat="1" ht="43.5" customHeight="1" x14ac:dyDescent="0.25">
      <c r="A21" s="289"/>
      <c r="B21" s="287"/>
      <c r="C21" s="247"/>
      <c r="D21" s="250"/>
      <c r="E21" s="35" t="s">
        <v>220</v>
      </c>
      <c r="F21" s="36">
        <v>36600</v>
      </c>
      <c r="G21" s="36">
        <v>36600</v>
      </c>
      <c r="H21" s="12">
        <f t="shared" si="2"/>
        <v>0</v>
      </c>
      <c r="I21" s="208"/>
      <c r="J21" s="208"/>
      <c r="K21" s="36">
        <v>36600</v>
      </c>
      <c r="L21" s="180">
        <f t="shared" si="5"/>
        <v>100</v>
      </c>
      <c r="M21" s="36">
        <v>0</v>
      </c>
      <c r="N21" s="36">
        <v>0</v>
      </c>
      <c r="O21" s="256"/>
      <c r="P21" s="256"/>
      <c r="Q21" s="253"/>
      <c r="R21" s="208"/>
      <c r="S21" s="208"/>
      <c r="T21" s="256"/>
      <c r="U21" s="256"/>
      <c r="V21" s="256"/>
      <c r="W21" s="208"/>
      <c r="X21" s="208"/>
      <c r="Y21" s="265"/>
      <c r="Z21" s="265"/>
      <c r="AA21" s="259"/>
      <c r="AB21" s="208"/>
      <c r="AC21" s="208"/>
      <c r="AD21" s="214"/>
      <c r="AE21" s="214"/>
      <c r="AF21" s="214"/>
      <c r="AG21" s="214"/>
      <c r="AH21" s="214"/>
      <c r="AI21" s="38" t="e">
        <f t="shared" si="4"/>
        <v>#DIV/0!</v>
      </c>
    </row>
    <row r="22" spans="1:35" s="53" customFormat="1" ht="120" x14ac:dyDescent="0.25">
      <c r="A22" s="194">
        <v>775</v>
      </c>
      <c r="B22" s="174" t="s">
        <v>122</v>
      </c>
      <c r="C22" s="33" t="s">
        <v>227</v>
      </c>
      <c r="D22" s="34">
        <v>1</v>
      </c>
      <c r="E22" s="175" t="s">
        <v>101</v>
      </c>
      <c r="F22" s="36">
        <v>800</v>
      </c>
      <c r="G22" s="36">
        <v>800</v>
      </c>
      <c r="H22" s="12">
        <f t="shared" si="2"/>
        <v>0</v>
      </c>
      <c r="I22" s="36">
        <v>0</v>
      </c>
      <c r="J22" s="36">
        <v>0</v>
      </c>
      <c r="K22" s="36">
        <v>800</v>
      </c>
      <c r="L22" s="39">
        <f t="shared" si="5"/>
        <v>100</v>
      </c>
      <c r="M22" s="36">
        <v>0</v>
      </c>
      <c r="N22" s="36">
        <v>0</v>
      </c>
      <c r="O22" s="182">
        <v>3938094</v>
      </c>
      <c r="P22" s="182">
        <v>3647703.72</v>
      </c>
      <c r="Q22" s="183">
        <f>(P22-O22)/O22*100</f>
        <v>-7.3738788358022891</v>
      </c>
      <c r="R22" s="36">
        <v>0</v>
      </c>
      <c r="S22" s="36">
        <v>0</v>
      </c>
      <c r="T22" s="182">
        <v>3651249.38</v>
      </c>
      <c r="U22" s="182">
        <v>3651249.38</v>
      </c>
      <c r="V22" s="182">
        <f t="shared" si="8"/>
        <v>100.0972025217004</v>
      </c>
      <c r="W22" s="36">
        <v>0</v>
      </c>
      <c r="X22" s="36">
        <v>0</v>
      </c>
      <c r="Y22" s="191">
        <f>O22/F22</f>
        <v>4922.6175000000003</v>
      </c>
      <c r="Z22" s="191">
        <f>P22/G22</f>
        <v>4559.6296499999999</v>
      </c>
      <c r="AA22" s="187">
        <f t="shared" si="6"/>
        <v>-7.3738788358023024</v>
      </c>
      <c r="AB22" s="36">
        <v>0</v>
      </c>
      <c r="AC22" s="36">
        <v>0</v>
      </c>
      <c r="AD22" s="40">
        <f t="shared" si="1"/>
        <v>0</v>
      </c>
      <c r="AE22" s="40"/>
      <c r="AF22" s="36"/>
      <c r="AG22" s="36"/>
      <c r="AH22" s="36"/>
      <c r="AI22" s="38" t="e">
        <f t="shared" si="4"/>
        <v>#DIV/0!</v>
      </c>
    </row>
    <row r="23" spans="1:35" s="61" customFormat="1" ht="28.5" x14ac:dyDescent="0.25">
      <c r="A23" s="26"/>
      <c r="B23" s="48" t="s">
        <v>33</v>
      </c>
      <c r="C23" s="28"/>
      <c r="D23" s="29"/>
      <c r="E23" s="30"/>
      <c r="F23" s="30"/>
      <c r="G23" s="30"/>
      <c r="H23" s="42"/>
      <c r="I23" s="30"/>
      <c r="J23" s="30"/>
      <c r="K23" s="30"/>
      <c r="L23" s="42"/>
      <c r="M23" s="71"/>
      <c r="N23" s="30"/>
      <c r="O23" s="184">
        <f>SUM(O8:O22)</f>
        <v>1645634000</v>
      </c>
      <c r="P23" s="184">
        <f>SUM(P8:P22)</f>
        <v>1766366639.6199999</v>
      </c>
      <c r="Q23" s="184">
        <f>(P23-O23)/O23*100</f>
        <v>7.336542610325254</v>
      </c>
      <c r="R23" s="30"/>
      <c r="S23" s="30"/>
      <c r="T23" s="184">
        <f t="shared" ref="T23:U23" si="9">SUM(T8:T22)</f>
        <v>1747961564.46</v>
      </c>
      <c r="U23" s="184">
        <f t="shared" si="9"/>
        <v>1747961564.46</v>
      </c>
      <c r="V23" s="184">
        <f>T23/P23*100</f>
        <v>98.958026337954436</v>
      </c>
      <c r="W23" s="30"/>
      <c r="X23" s="30"/>
      <c r="Y23" s="184"/>
      <c r="Z23" s="184"/>
      <c r="AA23" s="184"/>
      <c r="AB23" s="30"/>
      <c r="AC23" s="30"/>
      <c r="AD23" s="184">
        <f>SUM(AD8:AD22)</f>
        <v>0</v>
      </c>
      <c r="AE23" s="43"/>
      <c r="AF23" s="59"/>
      <c r="AG23" s="31"/>
      <c r="AH23" s="59"/>
      <c r="AI23" s="60"/>
    </row>
    <row r="24" spans="1:35" s="171" customFormat="1" ht="14.25" x14ac:dyDescent="0.25">
      <c r="A24" s="26"/>
      <c r="B24" s="48" t="s">
        <v>34</v>
      </c>
      <c r="C24" s="30"/>
      <c r="D24" s="30"/>
      <c r="E24" s="30"/>
      <c r="F24" s="44"/>
      <c r="G24" s="44"/>
      <c r="H24" s="44"/>
      <c r="I24" s="44"/>
      <c r="J24" s="44"/>
      <c r="K24" s="44"/>
      <c r="L24" s="44"/>
      <c r="M24" s="44"/>
      <c r="N24" s="44"/>
      <c r="O24" s="185">
        <f>SUM(O23:O23)</f>
        <v>1645634000</v>
      </c>
      <c r="P24" s="185">
        <f>SUM(P23:P23)</f>
        <v>1766366639.6199999</v>
      </c>
      <c r="Q24" s="184">
        <f>(P24-O24)/O24*100</f>
        <v>7.336542610325254</v>
      </c>
      <c r="R24" s="46"/>
      <c r="S24" s="46"/>
      <c r="T24" s="185">
        <f>SUM(T23:T23)</f>
        <v>1747961564.46</v>
      </c>
      <c r="U24" s="185">
        <f>SUM(U23:U23)</f>
        <v>1747961564.46</v>
      </c>
      <c r="V24" s="185">
        <f>U24/P24*100</f>
        <v>98.958026337954436</v>
      </c>
      <c r="W24" s="46"/>
      <c r="X24" s="46"/>
      <c r="Y24" s="185"/>
      <c r="Z24" s="185"/>
      <c r="AA24" s="185"/>
      <c r="AB24" s="46"/>
      <c r="AC24" s="46"/>
      <c r="AD24" s="45">
        <f>SUM(AD23:AD23)</f>
        <v>0</v>
      </c>
      <c r="AE24" s="45"/>
      <c r="AF24" s="47"/>
      <c r="AG24" s="47"/>
      <c r="AH24" s="47"/>
      <c r="AI24" s="43"/>
    </row>
    <row r="25" spans="1:35" s="16" customFormat="1" x14ac:dyDescent="0.25">
      <c r="A25" s="52"/>
      <c r="D25" s="23"/>
      <c r="E25" s="17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4"/>
      <c r="S25" s="24"/>
      <c r="T25" s="19"/>
      <c r="U25" s="19"/>
      <c r="V25" s="19"/>
      <c r="W25" s="19"/>
      <c r="X25" s="19"/>
      <c r="Y25" s="18"/>
      <c r="Z25" s="18"/>
      <c r="AA25" s="19"/>
      <c r="AB25" s="19"/>
      <c r="AC25" s="19"/>
      <c r="AD25" s="19"/>
      <c r="AE25" s="19"/>
      <c r="AF25" s="19"/>
    </row>
    <row r="26" spans="1:35" s="16" customFormat="1" x14ac:dyDescent="0.25">
      <c r="A26" s="52"/>
      <c r="D26" s="23"/>
      <c r="E26" s="17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4"/>
      <c r="S26" s="24"/>
      <c r="T26" s="19"/>
      <c r="U26" s="19"/>
      <c r="V26" s="19"/>
      <c r="W26" s="19"/>
      <c r="X26" s="19"/>
      <c r="Y26" s="18"/>
      <c r="Z26" s="18"/>
      <c r="AA26" s="19"/>
      <c r="AB26" s="19"/>
      <c r="AC26" s="19"/>
      <c r="AD26" s="19"/>
      <c r="AE26" s="19"/>
      <c r="AF26" s="19"/>
    </row>
    <row r="27" spans="1:35" s="16" customFormat="1" x14ac:dyDescent="0.25">
      <c r="A27" s="52"/>
      <c r="D27" s="23"/>
      <c r="E27" s="1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4"/>
      <c r="S27" s="24"/>
      <c r="T27" s="19"/>
      <c r="U27" s="19"/>
      <c r="V27" s="19"/>
      <c r="W27" s="19"/>
      <c r="X27" s="19"/>
      <c r="Y27" s="18"/>
      <c r="Z27" s="18"/>
      <c r="AA27" s="19"/>
      <c r="AB27" s="19"/>
      <c r="AC27" s="19"/>
      <c r="AD27" s="19"/>
      <c r="AE27" s="19"/>
      <c r="AF27" s="19"/>
    </row>
    <row r="28" spans="1:35" s="16" customFormat="1" x14ac:dyDescent="0.25">
      <c r="A28" s="52"/>
      <c r="D28" s="23"/>
      <c r="E28" s="17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4"/>
      <c r="S28" s="24"/>
      <c r="T28" s="19"/>
      <c r="U28" s="19"/>
      <c r="V28" s="19"/>
      <c r="W28" s="19"/>
      <c r="X28" s="19"/>
      <c r="Y28" s="18"/>
      <c r="Z28" s="18"/>
      <c r="AA28" s="19"/>
      <c r="AB28" s="19"/>
      <c r="AC28" s="19"/>
      <c r="AD28" s="19"/>
      <c r="AE28" s="19"/>
      <c r="AF28" s="19"/>
    </row>
    <row r="29" spans="1:35" s="16" customFormat="1" x14ac:dyDescent="0.25">
      <c r="A29" s="52"/>
      <c r="D29" s="23"/>
      <c r="E29" s="17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4"/>
      <c r="S29" s="24"/>
      <c r="T29" s="19"/>
      <c r="U29" s="19"/>
      <c r="V29" s="19"/>
      <c r="W29" s="19"/>
      <c r="X29" s="19"/>
      <c r="Y29" s="18"/>
      <c r="Z29" s="18"/>
      <c r="AA29" s="19"/>
      <c r="AB29" s="19"/>
      <c r="AC29" s="19"/>
      <c r="AD29" s="19"/>
      <c r="AE29" s="19"/>
      <c r="AF29" s="19"/>
    </row>
    <row r="30" spans="1:35" s="63" customFormat="1" ht="36" customHeight="1" x14ac:dyDescent="0.25">
      <c r="A30" s="273" t="s">
        <v>50</v>
      </c>
      <c r="B30" s="273"/>
      <c r="C30" s="273"/>
      <c r="E30" s="64"/>
      <c r="F30" s="65"/>
      <c r="G30" s="274" t="s">
        <v>53</v>
      </c>
      <c r="H30" s="274"/>
      <c r="I30" s="65"/>
      <c r="J30" s="65"/>
      <c r="K30" s="65"/>
      <c r="L30" s="65"/>
      <c r="M30" s="65"/>
      <c r="N30" s="65"/>
      <c r="O30" s="65"/>
      <c r="P30" s="65"/>
      <c r="Q30" s="65"/>
      <c r="R30" s="66"/>
      <c r="W30" s="65"/>
      <c r="X30" s="65"/>
      <c r="Y30" s="67"/>
      <c r="Z30" s="67"/>
      <c r="AA30" s="65"/>
      <c r="AB30" s="65"/>
      <c r="AC30" s="65"/>
      <c r="AD30" s="65"/>
      <c r="AE30" s="65"/>
      <c r="AF30" s="65"/>
    </row>
    <row r="31" spans="1:35" s="16" customFormat="1" x14ac:dyDescent="0.25">
      <c r="A31" s="1"/>
      <c r="E31" s="23" t="s">
        <v>52</v>
      </c>
      <c r="F31" s="19"/>
      <c r="G31" s="199" t="s">
        <v>54</v>
      </c>
      <c r="H31" s="199"/>
      <c r="I31" s="19"/>
      <c r="J31" s="19"/>
      <c r="K31" s="19"/>
      <c r="L31" s="19"/>
      <c r="M31" s="19"/>
      <c r="N31" s="19"/>
      <c r="O31" s="19"/>
      <c r="P31" s="19"/>
      <c r="Q31" s="19"/>
      <c r="R31" s="24"/>
      <c r="W31" s="19"/>
      <c r="X31" s="19"/>
      <c r="Y31" s="18"/>
      <c r="Z31" s="18"/>
      <c r="AA31" s="19"/>
      <c r="AB31" s="19"/>
      <c r="AC31" s="19"/>
      <c r="AD31" s="19"/>
      <c r="AE31" s="19"/>
      <c r="AF31" s="19"/>
    </row>
    <row r="32" spans="1:35" s="16" customFormat="1" x14ac:dyDescent="0.25">
      <c r="A32" s="1"/>
      <c r="D32" s="23"/>
      <c r="E32" s="17"/>
      <c r="R32" s="25"/>
      <c r="S32" s="25"/>
      <c r="Y32" s="20"/>
      <c r="Z32" s="20"/>
    </row>
    <row r="33" spans="1:26" s="16" customFormat="1" x14ac:dyDescent="0.25">
      <c r="A33" s="272" t="s">
        <v>223</v>
      </c>
      <c r="B33" s="272"/>
      <c r="C33" s="272"/>
      <c r="D33" s="272"/>
      <c r="E33" s="272"/>
      <c r="F33" s="272"/>
      <c r="R33" s="25"/>
      <c r="S33" s="25"/>
      <c r="Y33" s="20"/>
      <c r="Z33" s="20"/>
    </row>
    <row r="34" spans="1:26" s="16" customFormat="1" x14ac:dyDescent="0.2">
      <c r="A34" s="55"/>
      <c r="B34" s="55"/>
      <c r="C34" s="55"/>
      <c r="D34" s="56"/>
      <c r="E34" s="56"/>
      <c r="F34" s="56"/>
      <c r="R34" s="25"/>
      <c r="S34" s="25"/>
      <c r="Y34" s="20"/>
      <c r="Z34" s="20"/>
    </row>
    <row r="35" spans="1:26" s="16" customFormat="1" x14ac:dyDescent="0.2">
      <c r="A35" s="272" t="s">
        <v>51</v>
      </c>
      <c r="B35" s="272"/>
      <c r="C35" s="272"/>
      <c r="D35" s="272"/>
      <c r="E35" s="272"/>
      <c r="F35" s="56"/>
      <c r="R35" s="25"/>
      <c r="S35" s="25"/>
      <c r="Y35" s="20"/>
      <c r="Z35" s="20"/>
    </row>
  </sheetData>
  <mergeCells count="127">
    <mergeCell ref="AG16:AG18"/>
    <mergeCell ref="AH16:AH18"/>
    <mergeCell ref="AE20:AE21"/>
    <mergeCell ref="AF20:AF21"/>
    <mergeCell ref="AG20:AG21"/>
    <mergeCell ref="AH20:AH21"/>
    <mergeCell ref="AC20:AC21"/>
    <mergeCell ref="AD16:AD18"/>
    <mergeCell ref="AD20:AD21"/>
    <mergeCell ref="AE16:AE18"/>
    <mergeCell ref="AF16:AF18"/>
    <mergeCell ref="AB16:AB18"/>
    <mergeCell ref="AC16:AC18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Z20:Z21"/>
    <mergeCell ref="AA20:AA21"/>
    <mergeCell ref="AB20:AB21"/>
    <mergeCell ref="Y16:Y18"/>
    <mergeCell ref="Z16:Z18"/>
    <mergeCell ref="AA16:AA18"/>
    <mergeCell ref="A20:A21"/>
    <mergeCell ref="B20:B21"/>
    <mergeCell ref="C16:C18"/>
    <mergeCell ref="D16:D18"/>
    <mergeCell ref="M8:M9"/>
    <mergeCell ref="I20:I21"/>
    <mergeCell ref="J20:J21"/>
    <mergeCell ref="V10:V11"/>
    <mergeCell ref="W10:W11"/>
    <mergeCell ref="W8:W9"/>
    <mergeCell ref="D20:D21"/>
    <mergeCell ref="C20:C21"/>
    <mergeCell ref="R16:R18"/>
    <mergeCell ref="S16:S18"/>
    <mergeCell ref="N8:N9"/>
    <mergeCell ref="M10:M11"/>
    <mergeCell ref="N10:N11"/>
    <mergeCell ref="I16:I18"/>
    <mergeCell ref="J16:J18"/>
    <mergeCell ref="M16:M18"/>
    <mergeCell ref="N16:N18"/>
    <mergeCell ref="X10:X11"/>
    <mergeCell ref="A16:A18"/>
    <mergeCell ref="B16:B18"/>
    <mergeCell ref="O16:O18"/>
    <mergeCell ref="P16:P18"/>
    <mergeCell ref="Q16:Q18"/>
    <mergeCell ref="T16:T18"/>
    <mergeCell ref="U16:U18"/>
    <mergeCell ref="V16:V18"/>
    <mergeCell ref="W16:W18"/>
    <mergeCell ref="X16:X18"/>
    <mergeCell ref="I8:I9"/>
    <mergeCell ref="J8:J9"/>
    <mergeCell ref="O8:O9"/>
    <mergeCell ref="P8:P9"/>
    <mergeCell ref="Q8:Q9"/>
    <mergeCell ref="X8:X9"/>
    <mergeCell ref="A10:A11"/>
    <mergeCell ref="B10:B11"/>
    <mergeCell ref="C10:C11"/>
    <mergeCell ref="D10:D11"/>
    <mergeCell ref="I10:I11"/>
    <mergeCell ref="J10:J11"/>
    <mergeCell ref="O10:O11"/>
    <mergeCell ref="P10:P11"/>
    <mergeCell ref="Q10:Q11"/>
    <mergeCell ref="R10:R11"/>
    <mergeCell ref="S10:S11"/>
    <mergeCell ref="T10:T11"/>
    <mergeCell ref="U10:U11"/>
    <mergeCell ref="R8:R9"/>
    <mergeCell ref="S8:S9"/>
    <mergeCell ref="T8:T9"/>
    <mergeCell ref="U8:U9"/>
    <mergeCell ref="V8:V9"/>
    <mergeCell ref="A33:F33"/>
    <mergeCell ref="A35:E35"/>
    <mergeCell ref="E5:E6"/>
    <mergeCell ref="F5:F6"/>
    <mergeCell ref="G5:G6"/>
    <mergeCell ref="R5:S5"/>
    <mergeCell ref="T5:T6"/>
    <mergeCell ref="U5:U6"/>
    <mergeCell ref="V5:V6"/>
    <mergeCell ref="K5:K6"/>
    <mergeCell ref="L5:L6"/>
    <mergeCell ref="M5:N5"/>
    <mergeCell ref="O5:O6"/>
    <mergeCell ref="P5:P6"/>
    <mergeCell ref="A30:C30"/>
    <mergeCell ref="G30:H30"/>
    <mergeCell ref="G31:H31"/>
    <mergeCell ref="Q5:Q6"/>
    <mergeCell ref="H5:H6"/>
    <mergeCell ref="I5:J5"/>
    <mergeCell ref="A8:A9"/>
    <mergeCell ref="B8:B9"/>
    <mergeCell ref="C8:C9"/>
    <mergeCell ref="D8:D9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W5:X5"/>
  </mergeCells>
  <printOptions horizontalCentered="1"/>
  <pageMargins left="0.196527777777778" right="0.196527777777778" top="0.94513888888888897" bottom="0.15763888888888899" header="0.31527777777777799" footer="0.51180555555555496"/>
  <pageSetup paperSize="9" scale="39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32"/>
  <sheetViews>
    <sheetView workbookViewId="0">
      <selection activeCell="L23" sqref="L23"/>
    </sheetView>
  </sheetViews>
  <sheetFormatPr defaultColWidth="10.28515625" defaultRowHeight="12.75" x14ac:dyDescent="0.25"/>
  <cols>
    <col min="1" max="1" width="6.28515625" style="76" customWidth="1"/>
    <col min="2" max="2" width="41" style="142" customWidth="1"/>
    <col min="3" max="3" width="48.28515625" style="76" customWidth="1"/>
    <col min="4" max="4" width="16.7109375" style="76" bestFit="1" customWidth="1"/>
    <col min="5" max="5" width="22" style="143" hidden="1" customWidth="1"/>
    <col min="6" max="6" width="28.140625" style="76" hidden="1" customWidth="1"/>
    <col min="7" max="7" width="9.28515625" style="75" bestFit="1" customWidth="1"/>
    <col min="8" max="8" width="11.85546875" style="75" customWidth="1"/>
    <col min="9" max="9" width="18.5703125" style="75" customWidth="1"/>
    <col min="10" max="10" width="14.42578125" style="75" customWidth="1"/>
    <col min="11" max="12" width="10.28515625" style="75"/>
    <col min="13" max="14" width="10.28515625" style="75" customWidth="1"/>
    <col min="15" max="15" width="10.28515625" style="75"/>
    <col min="16" max="16" width="10.28515625" style="75" customWidth="1"/>
    <col min="17" max="16384" width="10.28515625" style="75"/>
  </cols>
  <sheetData>
    <row r="1" spans="1:8" ht="36" customHeight="1" x14ac:dyDescent="0.25">
      <c r="A1" s="290" t="s">
        <v>58</v>
      </c>
      <c r="B1" s="290"/>
      <c r="C1" s="290"/>
      <c r="D1" s="290"/>
      <c r="E1" s="290"/>
      <c r="F1" s="290"/>
    </row>
    <row r="2" spans="1:8" x14ac:dyDescent="0.25">
      <c r="B2" s="77"/>
      <c r="C2" s="78"/>
      <c r="D2" s="78"/>
      <c r="E2" s="79"/>
      <c r="F2" s="78"/>
    </row>
    <row r="3" spans="1:8" s="82" customFormat="1" ht="89.25" x14ac:dyDescent="0.25">
      <c r="A3" s="80" t="s">
        <v>59</v>
      </c>
      <c r="B3" s="80" t="s">
        <v>60</v>
      </c>
      <c r="C3" s="80" t="s">
        <v>61</v>
      </c>
      <c r="D3" s="80" t="s">
        <v>62</v>
      </c>
      <c r="E3" s="81" t="s">
        <v>63</v>
      </c>
      <c r="F3" s="80" t="s">
        <v>64</v>
      </c>
    </row>
    <row r="4" spans="1:8" s="76" customFormat="1" x14ac:dyDescent="0.25">
      <c r="A4" s="83">
        <v>1</v>
      </c>
      <c r="B4" s="83">
        <v>2</v>
      </c>
      <c r="C4" s="83">
        <v>3</v>
      </c>
      <c r="D4" s="83">
        <v>4</v>
      </c>
      <c r="E4" s="84">
        <v>5</v>
      </c>
      <c r="F4" s="83">
        <v>6</v>
      </c>
    </row>
    <row r="5" spans="1:8" s="76" customFormat="1" ht="12.75" customHeight="1" x14ac:dyDescent="0.25">
      <c r="A5" s="125" t="s">
        <v>65</v>
      </c>
      <c r="B5" s="125"/>
      <c r="C5" s="125"/>
      <c r="D5" s="125"/>
      <c r="E5" s="125"/>
      <c r="F5" s="85">
        <f>F7+F10+F13+F18+F25+F31+F35</f>
        <v>2044991299.24</v>
      </c>
      <c r="G5" s="86"/>
      <c r="H5" s="86"/>
    </row>
    <row r="6" spans="1:8" x14ac:dyDescent="0.25">
      <c r="A6" s="291" t="s">
        <v>66</v>
      </c>
      <c r="B6" s="291"/>
      <c r="C6" s="291"/>
      <c r="D6" s="291"/>
      <c r="E6" s="291"/>
      <c r="F6" s="291"/>
      <c r="G6" s="87"/>
      <c r="H6" s="87"/>
    </row>
    <row r="7" spans="1:8" s="92" customFormat="1" x14ac:dyDescent="0.25">
      <c r="A7" s="88"/>
      <c r="B7" s="89"/>
      <c r="C7" s="90"/>
      <c r="D7" s="90"/>
      <c r="E7" s="90" t="s">
        <v>67</v>
      </c>
      <c r="F7" s="91">
        <f>SUM(F8:F8)</f>
        <v>10216100</v>
      </c>
    </row>
    <row r="8" spans="1:8" s="92" customFormat="1" x14ac:dyDescent="0.25">
      <c r="A8" s="93">
        <v>1</v>
      </c>
      <c r="B8" s="94" t="s">
        <v>68</v>
      </c>
      <c r="C8" s="95" t="s">
        <v>69</v>
      </c>
      <c r="D8" s="95" t="s">
        <v>70</v>
      </c>
      <c r="E8" s="96">
        <v>160</v>
      </c>
      <c r="F8" s="97">
        <v>10216100</v>
      </c>
      <c r="G8" s="98"/>
    </row>
    <row r="9" spans="1:8" s="99" customFormat="1" x14ac:dyDescent="0.25">
      <c r="A9" s="291" t="s">
        <v>71</v>
      </c>
      <c r="B9" s="291"/>
      <c r="C9" s="291"/>
      <c r="D9" s="291"/>
      <c r="E9" s="291"/>
      <c r="F9" s="291"/>
    </row>
    <row r="10" spans="1:8" s="92" customFormat="1" x14ac:dyDescent="0.25">
      <c r="A10" s="88"/>
      <c r="B10" s="100"/>
      <c r="C10" s="90"/>
      <c r="D10" s="90"/>
      <c r="E10" s="90" t="s">
        <v>67</v>
      </c>
      <c r="F10" s="101">
        <f>SUM(F11:F11)</f>
        <v>26880900</v>
      </c>
    </row>
    <row r="11" spans="1:8" s="99" customFormat="1" x14ac:dyDescent="0.25">
      <c r="A11" s="102">
        <v>2</v>
      </c>
      <c r="B11" s="88" t="s">
        <v>39</v>
      </c>
      <c r="C11" s="93" t="s">
        <v>72</v>
      </c>
      <c r="D11" s="102" t="s">
        <v>73</v>
      </c>
      <c r="E11" s="96">
        <v>2865</v>
      </c>
      <c r="F11" s="103">
        <v>26880900</v>
      </c>
    </row>
    <row r="12" spans="1:8" s="99" customFormat="1" x14ac:dyDescent="0.25">
      <c r="A12" s="291" t="s">
        <v>74</v>
      </c>
      <c r="B12" s="291"/>
      <c r="C12" s="291"/>
      <c r="D12" s="291"/>
      <c r="E12" s="291"/>
      <c r="F12" s="291"/>
    </row>
    <row r="13" spans="1:8" s="92" customFormat="1" x14ac:dyDescent="0.25">
      <c r="A13" s="88"/>
      <c r="B13" s="89"/>
      <c r="C13" s="90"/>
      <c r="D13" s="90"/>
      <c r="E13" s="90" t="s">
        <v>67</v>
      </c>
      <c r="F13" s="104">
        <f>SUM(F14:F16)</f>
        <v>52295580</v>
      </c>
    </row>
    <row r="14" spans="1:8" s="92" customFormat="1" ht="25.5" x14ac:dyDescent="0.25">
      <c r="A14" s="102">
        <v>3</v>
      </c>
      <c r="B14" s="105" t="s">
        <v>75</v>
      </c>
      <c r="C14" s="106" t="s">
        <v>76</v>
      </c>
      <c r="D14" s="106" t="s">
        <v>77</v>
      </c>
      <c r="E14" s="107" t="s">
        <v>78</v>
      </c>
      <c r="F14" s="108">
        <v>11729480</v>
      </c>
    </row>
    <row r="15" spans="1:8" s="92" customFormat="1" x14ac:dyDescent="0.25">
      <c r="A15" s="102">
        <v>5</v>
      </c>
      <c r="B15" s="105" t="s">
        <v>79</v>
      </c>
      <c r="C15" s="95" t="s">
        <v>80</v>
      </c>
      <c r="D15" s="102" t="s">
        <v>81</v>
      </c>
      <c r="E15" s="107">
        <v>5363319</v>
      </c>
      <c r="F15" s="108">
        <v>37186865.899999999</v>
      </c>
    </row>
    <row r="16" spans="1:8" s="92" customFormat="1" ht="51" x14ac:dyDescent="0.25">
      <c r="A16" s="102">
        <v>6</v>
      </c>
      <c r="B16" s="105" t="s">
        <v>82</v>
      </c>
      <c r="C16" s="106" t="s">
        <v>83</v>
      </c>
      <c r="D16" s="106" t="s">
        <v>84</v>
      </c>
      <c r="E16" s="107" t="s">
        <v>85</v>
      </c>
      <c r="F16" s="108">
        <v>3379234.1</v>
      </c>
    </row>
    <row r="17" spans="1:12" x14ac:dyDescent="0.25">
      <c r="A17" s="291" t="s">
        <v>86</v>
      </c>
      <c r="B17" s="291"/>
      <c r="C17" s="291"/>
      <c r="D17" s="291"/>
      <c r="E17" s="291"/>
      <c r="F17" s="291"/>
      <c r="G17" s="109"/>
      <c r="H17" s="109"/>
      <c r="I17" s="109"/>
      <c r="J17" s="110"/>
      <c r="K17" s="111"/>
      <c r="L17" s="112"/>
    </row>
    <row r="18" spans="1:12" s="99" customFormat="1" x14ac:dyDescent="0.25">
      <c r="A18" s="113"/>
      <c r="B18" s="114"/>
      <c r="C18" s="80"/>
      <c r="D18" s="80"/>
      <c r="E18" s="80" t="s">
        <v>67</v>
      </c>
      <c r="F18" s="115">
        <f>SUM(F19:F23)</f>
        <v>90464288.439999998</v>
      </c>
      <c r="G18" s="116"/>
      <c r="H18" s="116"/>
      <c r="I18" s="116"/>
      <c r="J18" s="117"/>
      <c r="K18" s="118"/>
      <c r="L18" s="119"/>
    </row>
    <row r="19" spans="1:12" s="99" customFormat="1" ht="38.25" x14ac:dyDescent="0.25">
      <c r="A19" s="41">
        <v>7</v>
      </c>
      <c r="B19" s="120" t="s">
        <v>87</v>
      </c>
      <c r="C19" s="113" t="s">
        <v>88</v>
      </c>
      <c r="D19" s="102" t="s">
        <v>89</v>
      </c>
      <c r="E19" s="96">
        <f>339+350</f>
        <v>689</v>
      </c>
      <c r="F19" s="121">
        <f>12963415.34+17666943.8</f>
        <v>30630359.140000001</v>
      </c>
      <c r="G19" s="116"/>
      <c r="H19" s="116"/>
      <c r="I19" s="116"/>
      <c r="J19" s="117"/>
      <c r="K19" s="118"/>
      <c r="L19" s="119"/>
    </row>
    <row r="20" spans="1:12" s="99" customFormat="1" ht="25.5" x14ac:dyDescent="0.25">
      <c r="A20" s="41">
        <v>8</v>
      </c>
      <c r="B20" s="120" t="s">
        <v>90</v>
      </c>
      <c r="C20" s="113" t="s">
        <v>91</v>
      </c>
      <c r="D20" s="102" t="s">
        <v>89</v>
      </c>
      <c r="E20" s="96">
        <f>111+377</f>
        <v>488</v>
      </c>
      <c r="F20" s="121">
        <f>130943.6+7571547.3</f>
        <v>7702490.8999999994</v>
      </c>
      <c r="G20" s="116"/>
      <c r="H20" s="116"/>
      <c r="I20" s="116"/>
      <c r="J20" s="117"/>
      <c r="K20" s="118"/>
      <c r="L20" s="119"/>
    </row>
    <row r="21" spans="1:12" s="99" customFormat="1" ht="38.25" x14ac:dyDescent="0.25">
      <c r="A21" s="41">
        <v>9</v>
      </c>
      <c r="B21" s="120" t="s">
        <v>49</v>
      </c>
      <c r="C21" s="122" t="s">
        <v>92</v>
      </c>
      <c r="D21" s="102" t="s">
        <v>73</v>
      </c>
      <c r="E21" s="96">
        <v>363617</v>
      </c>
      <c r="F21" s="121">
        <f>27352153.4</f>
        <v>27352153.399999999</v>
      </c>
      <c r="G21" s="119"/>
      <c r="H21" s="119"/>
      <c r="I21" s="119"/>
      <c r="J21" s="119"/>
      <c r="K21" s="119"/>
      <c r="L21" s="119"/>
    </row>
    <row r="22" spans="1:12" s="99" customFormat="1" ht="25.5" x14ac:dyDescent="0.25">
      <c r="A22" s="41">
        <v>10</v>
      </c>
      <c r="B22" s="120" t="s">
        <v>57</v>
      </c>
      <c r="C22" s="122" t="s">
        <v>93</v>
      </c>
      <c r="D22" s="102" t="s">
        <v>94</v>
      </c>
      <c r="E22" s="96" t="s">
        <v>95</v>
      </c>
      <c r="F22" s="121">
        <f>16336370.44</f>
        <v>16336370.439999999</v>
      </c>
      <c r="G22" s="119"/>
      <c r="H22" s="119"/>
      <c r="I22" s="119"/>
      <c r="J22" s="119"/>
      <c r="K22" s="119"/>
      <c r="L22" s="119"/>
    </row>
    <row r="23" spans="1:12" s="99" customFormat="1" ht="51" x14ac:dyDescent="0.25">
      <c r="A23" s="41">
        <v>11</v>
      </c>
      <c r="B23" s="123" t="s">
        <v>96</v>
      </c>
      <c r="C23" s="124" t="s">
        <v>97</v>
      </c>
      <c r="D23" s="102" t="s">
        <v>98</v>
      </c>
      <c r="E23" s="96" t="s">
        <v>124</v>
      </c>
      <c r="F23" s="121">
        <f>8442914.56</f>
        <v>8442914.5600000005</v>
      </c>
    </row>
    <row r="24" spans="1:12" x14ac:dyDescent="0.25">
      <c r="A24" s="291" t="s">
        <v>99</v>
      </c>
      <c r="B24" s="291"/>
      <c r="C24" s="291"/>
      <c r="D24" s="291"/>
      <c r="E24" s="291"/>
      <c r="F24" s="291"/>
    </row>
    <row r="25" spans="1:12" x14ac:dyDescent="0.25">
      <c r="A25" s="83"/>
      <c r="B25" s="125"/>
      <c r="C25" s="126"/>
      <c r="D25" s="126"/>
      <c r="E25" s="126" t="s">
        <v>67</v>
      </c>
      <c r="F25" s="91">
        <f>SUM(F26:F29)</f>
        <v>84204649.109999985</v>
      </c>
    </row>
    <row r="26" spans="1:12" s="99" customFormat="1" ht="25.5" x14ac:dyDescent="0.25">
      <c r="A26" s="113">
        <v>11</v>
      </c>
      <c r="B26" s="105" t="s">
        <v>45</v>
      </c>
      <c r="C26" s="127" t="s">
        <v>100</v>
      </c>
      <c r="D26" s="113" t="s">
        <v>101</v>
      </c>
      <c r="E26" s="128">
        <v>1640</v>
      </c>
      <c r="F26" s="103">
        <v>59886094.109999999</v>
      </c>
    </row>
    <row r="27" spans="1:12" s="99" customFormat="1" ht="25.5" x14ac:dyDescent="0.25">
      <c r="A27" s="113">
        <v>12</v>
      </c>
      <c r="B27" s="105" t="s">
        <v>46</v>
      </c>
      <c r="C27" s="127" t="s">
        <v>100</v>
      </c>
      <c r="D27" s="113" t="s">
        <v>101</v>
      </c>
      <c r="E27" s="128">
        <v>504</v>
      </c>
      <c r="F27" s="103">
        <v>23539717.399999999</v>
      </c>
    </row>
    <row r="28" spans="1:12" s="99" customFormat="1" ht="25.5" x14ac:dyDescent="0.25">
      <c r="A28" s="113">
        <v>13</v>
      </c>
      <c r="B28" s="105" t="s">
        <v>47</v>
      </c>
      <c r="C28" s="127" t="s">
        <v>100</v>
      </c>
      <c r="D28" s="113" t="s">
        <v>101</v>
      </c>
      <c r="E28" s="128">
        <v>23</v>
      </c>
      <c r="F28" s="103">
        <v>778837.6</v>
      </c>
    </row>
    <row r="29" spans="1:12" s="99" customFormat="1" ht="25.5" x14ac:dyDescent="0.25">
      <c r="A29" s="113">
        <v>14</v>
      </c>
      <c r="B29" s="105" t="s">
        <v>48</v>
      </c>
      <c r="C29" s="127" t="s">
        <v>100</v>
      </c>
      <c r="D29" s="113" t="s">
        <v>101</v>
      </c>
      <c r="E29" s="128">
        <v>0</v>
      </c>
      <c r="F29" s="103">
        <v>0</v>
      </c>
    </row>
    <row r="30" spans="1:12" s="99" customFormat="1" x14ac:dyDescent="0.25">
      <c r="A30" s="291" t="s">
        <v>102</v>
      </c>
      <c r="B30" s="291"/>
      <c r="C30" s="291"/>
      <c r="D30" s="291"/>
      <c r="E30" s="291"/>
      <c r="F30" s="291"/>
    </row>
    <row r="31" spans="1:12" s="99" customFormat="1" x14ac:dyDescent="0.25">
      <c r="A31" s="129"/>
      <c r="B31" s="125"/>
      <c r="C31" s="126"/>
      <c r="D31" s="126"/>
      <c r="E31" s="126" t="s">
        <v>67</v>
      </c>
      <c r="F31" s="91">
        <f>SUM(F32:F33)</f>
        <v>16184042.810000001</v>
      </c>
      <c r="G31" s="130"/>
      <c r="H31" s="130"/>
      <c r="J31" s="130"/>
      <c r="K31" s="130"/>
      <c r="L31" s="130"/>
    </row>
    <row r="32" spans="1:12" s="99" customFormat="1" ht="63.75" x14ac:dyDescent="0.25">
      <c r="A32" s="113">
        <v>15</v>
      </c>
      <c r="B32" s="120" t="s">
        <v>41</v>
      </c>
      <c r="C32" s="131" t="s">
        <v>103</v>
      </c>
      <c r="D32" s="102" t="s">
        <v>73</v>
      </c>
      <c r="E32" s="132">
        <v>5180</v>
      </c>
      <c r="F32" s="133">
        <v>6145000</v>
      </c>
      <c r="G32" s="130"/>
      <c r="H32" s="130"/>
    </row>
    <row r="33" spans="1:8" s="99" customFormat="1" ht="25.5" x14ac:dyDescent="0.25">
      <c r="A33" s="113">
        <v>16</v>
      </c>
      <c r="B33" s="120" t="s">
        <v>42</v>
      </c>
      <c r="C33" s="131" t="s">
        <v>104</v>
      </c>
      <c r="D33" s="102" t="s">
        <v>73</v>
      </c>
      <c r="E33" s="132">
        <v>9</v>
      </c>
      <c r="F33" s="133">
        <v>10039042.810000001</v>
      </c>
      <c r="G33" s="130"/>
      <c r="H33" s="130"/>
    </row>
    <row r="34" spans="1:8" x14ac:dyDescent="0.25">
      <c r="A34" s="291" t="s">
        <v>105</v>
      </c>
      <c r="B34" s="291"/>
      <c r="C34" s="291"/>
      <c r="D34" s="291"/>
      <c r="E34" s="291"/>
      <c r="F34" s="291"/>
    </row>
    <row r="35" spans="1:8" s="92" customFormat="1" x14ac:dyDescent="0.25">
      <c r="A35" s="102"/>
      <c r="B35" s="89"/>
      <c r="C35" s="90"/>
      <c r="D35" s="90"/>
      <c r="E35" s="90" t="s">
        <v>67</v>
      </c>
      <c r="F35" s="91">
        <f>SUM(F36:F44)</f>
        <v>1764745738.8800001</v>
      </c>
    </row>
    <row r="36" spans="1:8" s="92" customFormat="1" ht="25.5" x14ac:dyDescent="0.25">
      <c r="A36" s="102">
        <v>17</v>
      </c>
      <c r="B36" s="88" t="s">
        <v>38</v>
      </c>
      <c r="C36" s="102" t="s">
        <v>106</v>
      </c>
      <c r="D36" s="102" t="s">
        <v>107</v>
      </c>
      <c r="E36" s="102" t="s">
        <v>108</v>
      </c>
      <c r="F36" s="133">
        <v>866614687.63999999</v>
      </c>
      <c r="G36" s="134" t="s">
        <v>109</v>
      </c>
    </row>
    <row r="37" spans="1:8" s="99" customFormat="1" ht="25.5" x14ac:dyDescent="0.25">
      <c r="A37" s="113">
        <v>18</v>
      </c>
      <c r="B37" s="135" t="s">
        <v>35</v>
      </c>
      <c r="C37" s="113" t="s">
        <v>110</v>
      </c>
      <c r="D37" s="113" t="s">
        <v>101</v>
      </c>
      <c r="E37" s="136">
        <v>6766</v>
      </c>
      <c r="F37" s="103">
        <v>303390136.81999999</v>
      </c>
      <c r="G37" s="292" t="s">
        <v>111</v>
      </c>
    </row>
    <row r="38" spans="1:8" s="99" customFormat="1" ht="25.5" x14ac:dyDescent="0.25">
      <c r="A38" s="113">
        <v>19</v>
      </c>
      <c r="B38" s="135" t="s">
        <v>36</v>
      </c>
      <c r="C38" s="137" t="s">
        <v>110</v>
      </c>
      <c r="D38" s="113" t="s">
        <v>101</v>
      </c>
      <c r="E38" s="128">
        <v>7187</v>
      </c>
      <c r="F38" s="103">
        <v>368143326.43000001</v>
      </c>
      <c r="G38" s="292"/>
    </row>
    <row r="39" spans="1:8" s="99" customFormat="1" ht="25.5" x14ac:dyDescent="0.25">
      <c r="A39" s="113">
        <v>20</v>
      </c>
      <c r="B39" s="135" t="s">
        <v>37</v>
      </c>
      <c r="C39" s="137" t="s">
        <v>110</v>
      </c>
      <c r="D39" s="113" t="s">
        <v>101</v>
      </c>
      <c r="E39" s="137">
        <v>972</v>
      </c>
      <c r="F39" s="138">
        <v>54747983.359999999</v>
      </c>
      <c r="G39" s="292"/>
    </row>
    <row r="40" spans="1:8" s="99" customFormat="1" ht="25.5" x14ac:dyDescent="0.25">
      <c r="A40" s="113">
        <v>21</v>
      </c>
      <c r="B40" s="135" t="s">
        <v>55</v>
      </c>
      <c r="C40" s="137" t="s">
        <v>88</v>
      </c>
      <c r="D40" s="139" t="s">
        <v>89</v>
      </c>
      <c r="E40" s="128">
        <v>300196162</v>
      </c>
      <c r="F40" s="103">
        <v>146657604.63</v>
      </c>
      <c r="G40" s="140" t="s">
        <v>112</v>
      </c>
    </row>
    <row r="41" spans="1:8" s="99" customFormat="1" ht="38.25" x14ac:dyDescent="0.25">
      <c r="A41" s="113">
        <v>23</v>
      </c>
      <c r="B41" s="135" t="s">
        <v>113</v>
      </c>
      <c r="C41" s="141" t="s">
        <v>114</v>
      </c>
      <c r="D41" s="139" t="s">
        <v>115</v>
      </c>
      <c r="E41" s="128" t="s">
        <v>116</v>
      </c>
      <c r="F41" s="136">
        <v>2983000</v>
      </c>
      <c r="G41" s="140" t="s">
        <v>117</v>
      </c>
    </row>
    <row r="42" spans="1:8" s="99" customFormat="1" x14ac:dyDescent="0.25">
      <c r="A42" s="113">
        <v>22</v>
      </c>
      <c r="B42" s="135" t="s">
        <v>118</v>
      </c>
      <c r="C42" s="137" t="s">
        <v>88</v>
      </c>
      <c r="D42" s="139" t="s">
        <v>89</v>
      </c>
      <c r="E42" s="128">
        <v>3829500</v>
      </c>
      <c r="F42" s="136">
        <f>15636000+1237300+623000</f>
        <v>17496300</v>
      </c>
      <c r="G42" s="293" t="s">
        <v>119</v>
      </c>
    </row>
    <row r="43" spans="1:8" ht="25.5" x14ac:dyDescent="0.25">
      <c r="A43" s="113">
        <v>24</v>
      </c>
      <c r="B43" s="135" t="s">
        <v>120</v>
      </c>
      <c r="C43" s="141" t="s">
        <v>91</v>
      </c>
      <c r="D43" s="102" t="s">
        <v>107</v>
      </c>
      <c r="E43" s="128" t="s">
        <v>121</v>
      </c>
      <c r="F43" s="136">
        <f>4712700-F44</f>
        <v>609366.70000000019</v>
      </c>
      <c r="G43" s="294"/>
    </row>
    <row r="44" spans="1:8" ht="38.25" x14ac:dyDescent="0.25">
      <c r="A44" s="113">
        <v>25</v>
      </c>
      <c r="B44" s="135" t="s">
        <v>122</v>
      </c>
      <c r="C44" s="141" t="s">
        <v>123</v>
      </c>
      <c r="D44" s="113" t="s">
        <v>101</v>
      </c>
      <c r="E44" s="128">
        <v>750</v>
      </c>
      <c r="F44" s="136">
        <v>4103333.3</v>
      </c>
      <c r="G44" s="295"/>
    </row>
    <row r="45" spans="1:8" x14ac:dyDescent="0.25">
      <c r="F45" s="144"/>
    </row>
    <row r="46" spans="1:8" x14ac:dyDescent="0.25">
      <c r="F46" s="144"/>
    </row>
    <row r="47" spans="1:8" x14ac:dyDescent="0.25">
      <c r="F47" s="144"/>
    </row>
    <row r="48" spans="1:8" x14ac:dyDescent="0.25">
      <c r="F48" s="144"/>
    </row>
    <row r="49" spans="6:6" x14ac:dyDescent="0.25">
      <c r="F49" s="144"/>
    </row>
    <row r="50" spans="6:6" x14ac:dyDescent="0.25">
      <c r="F50" s="144"/>
    </row>
    <row r="51" spans="6:6" x14ac:dyDescent="0.25">
      <c r="F51" s="144"/>
    </row>
    <row r="52" spans="6:6" x14ac:dyDescent="0.25">
      <c r="F52" s="144"/>
    </row>
    <row r="53" spans="6:6" x14ac:dyDescent="0.25">
      <c r="F53" s="144"/>
    </row>
    <row r="54" spans="6:6" x14ac:dyDescent="0.25">
      <c r="F54" s="144"/>
    </row>
    <row r="55" spans="6:6" x14ac:dyDescent="0.25">
      <c r="F55" s="144"/>
    </row>
    <row r="56" spans="6:6" x14ac:dyDescent="0.25">
      <c r="F56" s="144"/>
    </row>
    <row r="57" spans="6:6" x14ac:dyDescent="0.25">
      <c r="F57" s="144"/>
    </row>
    <row r="58" spans="6:6" x14ac:dyDescent="0.25">
      <c r="F58" s="144"/>
    </row>
    <row r="59" spans="6:6" x14ac:dyDescent="0.25">
      <c r="F59" s="144"/>
    </row>
    <row r="60" spans="6:6" x14ac:dyDescent="0.25">
      <c r="F60" s="144"/>
    </row>
    <row r="61" spans="6:6" x14ac:dyDescent="0.25">
      <c r="F61" s="144"/>
    </row>
    <row r="62" spans="6:6" x14ac:dyDescent="0.25">
      <c r="F62" s="144"/>
    </row>
    <row r="63" spans="6:6" x14ac:dyDescent="0.25">
      <c r="F63" s="144"/>
    </row>
    <row r="64" spans="6:6" x14ac:dyDescent="0.25">
      <c r="F64" s="144"/>
    </row>
    <row r="65" spans="6:6" x14ac:dyDescent="0.25">
      <c r="F65" s="144"/>
    </row>
    <row r="66" spans="6:6" x14ac:dyDescent="0.25">
      <c r="F66" s="144"/>
    </row>
    <row r="67" spans="6:6" x14ac:dyDescent="0.25">
      <c r="F67" s="144"/>
    </row>
    <row r="68" spans="6:6" x14ac:dyDescent="0.25">
      <c r="F68" s="144"/>
    </row>
    <row r="69" spans="6:6" x14ac:dyDescent="0.25">
      <c r="F69" s="144"/>
    </row>
    <row r="70" spans="6:6" x14ac:dyDescent="0.25">
      <c r="F70" s="144"/>
    </row>
    <row r="71" spans="6:6" x14ac:dyDescent="0.25">
      <c r="F71" s="144"/>
    </row>
    <row r="72" spans="6:6" x14ac:dyDescent="0.25">
      <c r="F72" s="144"/>
    </row>
    <row r="73" spans="6:6" x14ac:dyDescent="0.25">
      <c r="F73" s="144"/>
    </row>
    <row r="74" spans="6:6" x14ac:dyDescent="0.25">
      <c r="F74" s="144"/>
    </row>
    <row r="75" spans="6:6" x14ac:dyDescent="0.25">
      <c r="F75" s="144"/>
    </row>
    <row r="76" spans="6:6" x14ac:dyDescent="0.25">
      <c r="F76" s="144"/>
    </row>
    <row r="77" spans="6:6" x14ac:dyDescent="0.25">
      <c r="F77" s="144"/>
    </row>
    <row r="78" spans="6:6" x14ac:dyDescent="0.25">
      <c r="F78" s="144"/>
    </row>
    <row r="79" spans="6:6" x14ac:dyDescent="0.25">
      <c r="F79" s="144"/>
    </row>
    <row r="80" spans="6:6" x14ac:dyDescent="0.25">
      <c r="F80" s="144"/>
    </row>
    <row r="81" spans="6:6" x14ac:dyDescent="0.25">
      <c r="F81" s="144"/>
    </row>
    <row r="82" spans="6:6" x14ac:dyDescent="0.25">
      <c r="F82" s="144"/>
    </row>
    <row r="83" spans="6:6" x14ac:dyDescent="0.25">
      <c r="F83" s="144"/>
    </row>
    <row r="84" spans="6:6" x14ac:dyDescent="0.25">
      <c r="F84" s="144"/>
    </row>
    <row r="85" spans="6:6" x14ac:dyDescent="0.25">
      <c r="F85" s="144"/>
    </row>
    <row r="86" spans="6:6" x14ac:dyDescent="0.25">
      <c r="F86" s="144"/>
    </row>
    <row r="87" spans="6:6" x14ac:dyDescent="0.25">
      <c r="F87" s="144"/>
    </row>
    <row r="88" spans="6:6" x14ac:dyDescent="0.25">
      <c r="F88" s="144"/>
    </row>
    <row r="89" spans="6:6" x14ac:dyDescent="0.25">
      <c r="F89" s="144"/>
    </row>
    <row r="90" spans="6:6" x14ac:dyDescent="0.25">
      <c r="F90" s="144"/>
    </row>
    <row r="91" spans="6:6" x14ac:dyDescent="0.25">
      <c r="F91" s="144"/>
    </row>
    <row r="92" spans="6:6" x14ac:dyDescent="0.25">
      <c r="F92" s="144"/>
    </row>
    <row r="93" spans="6:6" x14ac:dyDescent="0.25">
      <c r="F93" s="144"/>
    </row>
    <row r="94" spans="6:6" x14ac:dyDescent="0.25">
      <c r="F94" s="144"/>
    </row>
    <row r="95" spans="6:6" x14ac:dyDescent="0.25">
      <c r="F95" s="144"/>
    </row>
    <row r="96" spans="6:6" x14ac:dyDescent="0.25">
      <c r="F96" s="144"/>
    </row>
    <row r="97" spans="6:6" x14ac:dyDescent="0.25">
      <c r="F97" s="144"/>
    </row>
    <row r="98" spans="6:6" x14ac:dyDescent="0.25">
      <c r="F98" s="144"/>
    </row>
    <row r="99" spans="6:6" x14ac:dyDescent="0.25">
      <c r="F99" s="144"/>
    </row>
    <row r="100" spans="6:6" x14ac:dyDescent="0.25">
      <c r="F100" s="144"/>
    </row>
    <row r="101" spans="6:6" x14ac:dyDescent="0.25">
      <c r="F101" s="144"/>
    </row>
    <row r="102" spans="6:6" x14ac:dyDescent="0.25">
      <c r="F102" s="144"/>
    </row>
    <row r="103" spans="6:6" x14ac:dyDescent="0.25">
      <c r="F103" s="144"/>
    </row>
    <row r="104" spans="6:6" x14ac:dyDescent="0.25">
      <c r="F104" s="144"/>
    </row>
    <row r="105" spans="6:6" x14ac:dyDescent="0.25">
      <c r="F105" s="144"/>
    </row>
    <row r="106" spans="6:6" x14ac:dyDescent="0.25">
      <c r="F106" s="144"/>
    </row>
    <row r="107" spans="6:6" x14ac:dyDescent="0.25">
      <c r="F107" s="144"/>
    </row>
    <row r="108" spans="6:6" x14ac:dyDescent="0.25">
      <c r="F108" s="144"/>
    </row>
    <row r="109" spans="6:6" x14ac:dyDescent="0.25">
      <c r="F109" s="144"/>
    </row>
    <row r="110" spans="6:6" x14ac:dyDescent="0.25">
      <c r="F110" s="144"/>
    </row>
    <row r="111" spans="6:6" x14ac:dyDescent="0.25">
      <c r="F111" s="144"/>
    </row>
    <row r="112" spans="6:6" x14ac:dyDescent="0.25">
      <c r="F112" s="144"/>
    </row>
    <row r="113" spans="6:6" x14ac:dyDescent="0.25">
      <c r="F113" s="144"/>
    </row>
    <row r="114" spans="6:6" x14ac:dyDescent="0.25">
      <c r="F114" s="144"/>
    </row>
    <row r="115" spans="6:6" x14ac:dyDescent="0.25">
      <c r="F115" s="144"/>
    </row>
    <row r="116" spans="6:6" x14ac:dyDescent="0.25">
      <c r="F116" s="144"/>
    </row>
    <row r="117" spans="6:6" x14ac:dyDescent="0.25">
      <c r="F117" s="144"/>
    </row>
    <row r="118" spans="6:6" x14ac:dyDescent="0.25">
      <c r="F118" s="144"/>
    </row>
    <row r="119" spans="6:6" x14ac:dyDescent="0.25">
      <c r="F119" s="144"/>
    </row>
    <row r="120" spans="6:6" x14ac:dyDescent="0.25">
      <c r="F120" s="144"/>
    </row>
    <row r="121" spans="6:6" x14ac:dyDescent="0.25">
      <c r="F121" s="144"/>
    </row>
    <row r="122" spans="6:6" x14ac:dyDescent="0.25">
      <c r="F122" s="144"/>
    </row>
    <row r="123" spans="6:6" x14ac:dyDescent="0.25">
      <c r="F123" s="144"/>
    </row>
    <row r="124" spans="6:6" x14ac:dyDescent="0.25">
      <c r="F124" s="144"/>
    </row>
    <row r="125" spans="6:6" x14ac:dyDescent="0.25">
      <c r="F125" s="144"/>
    </row>
    <row r="126" spans="6:6" x14ac:dyDescent="0.25">
      <c r="F126" s="144"/>
    </row>
    <row r="127" spans="6:6" x14ac:dyDescent="0.25">
      <c r="F127" s="144"/>
    </row>
    <row r="128" spans="6:6" x14ac:dyDescent="0.25">
      <c r="F128" s="144"/>
    </row>
    <row r="129" spans="6:6" x14ac:dyDescent="0.25">
      <c r="F129" s="144"/>
    </row>
    <row r="130" spans="6:6" x14ac:dyDescent="0.25">
      <c r="F130" s="144"/>
    </row>
    <row r="131" spans="6:6" x14ac:dyDescent="0.25">
      <c r="F131" s="144"/>
    </row>
    <row r="132" spans="6:6" x14ac:dyDescent="0.25">
      <c r="F132" s="144"/>
    </row>
    <row r="133" spans="6:6" x14ac:dyDescent="0.25">
      <c r="F133" s="144"/>
    </row>
    <row r="134" spans="6:6" x14ac:dyDescent="0.25">
      <c r="F134" s="144"/>
    </row>
    <row r="135" spans="6:6" x14ac:dyDescent="0.25">
      <c r="F135" s="144"/>
    </row>
    <row r="136" spans="6:6" x14ac:dyDescent="0.25">
      <c r="F136" s="144"/>
    </row>
    <row r="137" spans="6:6" x14ac:dyDescent="0.25">
      <c r="F137" s="144"/>
    </row>
    <row r="138" spans="6:6" x14ac:dyDescent="0.25">
      <c r="F138" s="144"/>
    </row>
    <row r="139" spans="6:6" x14ac:dyDescent="0.25">
      <c r="F139" s="144"/>
    </row>
    <row r="140" spans="6:6" x14ac:dyDescent="0.25">
      <c r="F140" s="144"/>
    </row>
    <row r="141" spans="6:6" x14ac:dyDescent="0.25">
      <c r="F141" s="144"/>
    </row>
    <row r="142" spans="6:6" x14ac:dyDescent="0.25">
      <c r="F142" s="144"/>
    </row>
    <row r="143" spans="6:6" x14ac:dyDescent="0.25">
      <c r="F143" s="144"/>
    </row>
    <row r="144" spans="6:6" x14ac:dyDescent="0.25">
      <c r="F144" s="144"/>
    </row>
    <row r="145" spans="6:6" x14ac:dyDescent="0.25">
      <c r="F145" s="144"/>
    </row>
    <row r="146" spans="6:6" x14ac:dyDescent="0.25">
      <c r="F146" s="144"/>
    </row>
    <row r="147" spans="6:6" x14ac:dyDescent="0.25">
      <c r="F147" s="144"/>
    </row>
    <row r="148" spans="6:6" x14ac:dyDescent="0.25">
      <c r="F148" s="144"/>
    </row>
    <row r="149" spans="6:6" x14ac:dyDescent="0.25">
      <c r="F149" s="144"/>
    </row>
    <row r="150" spans="6:6" x14ac:dyDescent="0.25">
      <c r="F150" s="144"/>
    </row>
    <row r="151" spans="6:6" x14ac:dyDescent="0.25">
      <c r="F151" s="144"/>
    </row>
    <row r="152" spans="6:6" x14ac:dyDescent="0.25">
      <c r="F152" s="144"/>
    </row>
    <row r="153" spans="6:6" x14ac:dyDescent="0.25">
      <c r="F153" s="144"/>
    </row>
    <row r="154" spans="6:6" x14ac:dyDescent="0.25">
      <c r="F154" s="144"/>
    </row>
    <row r="155" spans="6:6" x14ac:dyDescent="0.25">
      <c r="F155" s="144"/>
    </row>
    <row r="156" spans="6:6" x14ac:dyDescent="0.25">
      <c r="F156" s="144"/>
    </row>
    <row r="157" spans="6:6" x14ac:dyDescent="0.25">
      <c r="F157" s="144"/>
    </row>
    <row r="158" spans="6:6" x14ac:dyDescent="0.25">
      <c r="F158" s="144"/>
    </row>
    <row r="159" spans="6:6" x14ac:dyDescent="0.25">
      <c r="F159" s="144"/>
    </row>
    <row r="160" spans="6:6" x14ac:dyDescent="0.25">
      <c r="F160" s="144"/>
    </row>
    <row r="161" spans="6:6" x14ac:dyDescent="0.25">
      <c r="F161" s="144"/>
    </row>
    <row r="162" spans="6:6" x14ac:dyDescent="0.25">
      <c r="F162" s="144"/>
    </row>
    <row r="163" spans="6:6" x14ac:dyDescent="0.25">
      <c r="F163" s="144"/>
    </row>
    <row r="164" spans="6:6" x14ac:dyDescent="0.25">
      <c r="F164" s="144"/>
    </row>
    <row r="165" spans="6:6" x14ac:dyDescent="0.25">
      <c r="F165" s="144"/>
    </row>
    <row r="166" spans="6:6" x14ac:dyDescent="0.25">
      <c r="F166" s="144"/>
    </row>
    <row r="167" spans="6:6" x14ac:dyDescent="0.25">
      <c r="F167" s="144"/>
    </row>
    <row r="168" spans="6:6" x14ac:dyDescent="0.25">
      <c r="F168" s="144"/>
    </row>
    <row r="169" spans="6:6" x14ac:dyDescent="0.25">
      <c r="F169" s="144"/>
    </row>
    <row r="170" spans="6:6" x14ac:dyDescent="0.25">
      <c r="F170" s="144"/>
    </row>
    <row r="171" spans="6:6" x14ac:dyDescent="0.25">
      <c r="F171" s="144"/>
    </row>
    <row r="172" spans="6:6" x14ac:dyDescent="0.25">
      <c r="F172" s="144"/>
    </row>
    <row r="173" spans="6:6" x14ac:dyDescent="0.25">
      <c r="F173" s="144"/>
    </row>
    <row r="174" spans="6:6" x14ac:dyDescent="0.25">
      <c r="F174" s="144"/>
    </row>
    <row r="175" spans="6:6" x14ac:dyDescent="0.25">
      <c r="F175" s="144"/>
    </row>
    <row r="176" spans="6:6" x14ac:dyDescent="0.25">
      <c r="F176" s="144"/>
    </row>
    <row r="177" spans="6:6" x14ac:dyDescent="0.25">
      <c r="F177" s="144"/>
    </row>
    <row r="178" spans="6:6" x14ac:dyDescent="0.25">
      <c r="F178" s="144"/>
    </row>
    <row r="179" spans="6:6" x14ac:dyDescent="0.25">
      <c r="F179" s="144"/>
    </row>
    <row r="180" spans="6:6" x14ac:dyDescent="0.25">
      <c r="F180" s="144"/>
    </row>
    <row r="181" spans="6:6" x14ac:dyDescent="0.25">
      <c r="F181" s="144"/>
    </row>
    <row r="182" spans="6:6" x14ac:dyDescent="0.25">
      <c r="F182" s="144"/>
    </row>
    <row r="183" spans="6:6" x14ac:dyDescent="0.25">
      <c r="F183" s="144"/>
    </row>
    <row r="184" spans="6:6" x14ac:dyDescent="0.25">
      <c r="F184" s="144"/>
    </row>
    <row r="185" spans="6:6" x14ac:dyDescent="0.25">
      <c r="F185" s="144"/>
    </row>
    <row r="186" spans="6:6" x14ac:dyDescent="0.25">
      <c r="F186" s="144"/>
    </row>
    <row r="187" spans="6:6" x14ac:dyDescent="0.25">
      <c r="F187" s="144"/>
    </row>
    <row r="188" spans="6:6" x14ac:dyDescent="0.25">
      <c r="F188" s="144"/>
    </row>
    <row r="189" spans="6:6" x14ac:dyDescent="0.25">
      <c r="F189" s="144"/>
    </row>
    <row r="190" spans="6:6" x14ac:dyDescent="0.25">
      <c r="F190" s="144"/>
    </row>
    <row r="191" spans="6:6" x14ac:dyDescent="0.25">
      <c r="F191" s="144"/>
    </row>
    <row r="192" spans="6:6" x14ac:dyDescent="0.25">
      <c r="F192" s="144"/>
    </row>
    <row r="193" spans="6:6" x14ac:dyDescent="0.25">
      <c r="F193" s="144"/>
    </row>
    <row r="194" spans="6:6" x14ac:dyDescent="0.25">
      <c r="F194" s="144"/>
    </row>
    <row r="195" spans="6:6" x14ac:dyDescent="0.25">
      <c r="F195" s="144"/>
    </row>
    <row r="196" spans="6:6" x14ac:dyDescent="0.25">
      <c r="F196" s="144"/>
    </row>
    <row r="197" spans="6:6" x14ac:dyDescent="0.25">
      <c r="F197" s="144"/>
    </row>
    <row r="198" spans="6:6" x14ac:dyDescent="0.25">
      <c r="F198" s="144"/>
    </row>
    <row r="199" spans="6:6" x14ac:dyDescent="0.25">
      <c r="F199" s="144"/>
    </row>
    <row r="200" spans="6:6" x14ac:dyDescent="0.25">
      <c r="F200" s="144"/>
    </row>
    <row r="201" spans="6:6" x14ac:dyDescent="0.25">
      <c r="F201" s="144"/>
    </row>
    <row r="202" spans="6:6" x14ac:dyDescent="0.25">
      <c r="F202" s="144"/>
    </row>
    <row r="203" spans="6:6" x14ac:dyDescent="0.25">
      <c r="F203" s="144"/>
    </row>
    <row r="204" spans="6:6" x14ac:dyDescent="0.25">
      <c r="F204" s="144"/>
    </row>
    <row r="205" spans="6:6" x14ac:dyDescent="0.25">
      <c r="F205" s="144"/>
    </row>
    <row r="206" spans="6:6" x14ac:dyDescent="0.25">
      <c r="F206" s="144"/>
    </row>
    <row r="207" spans="6:6" x14ac:dyDescent="0.25">
      <c r="F207" s="144"/>
    </row>
    <row r="208" spans="6:6" x14ac:dyDescent="0.25">
      <c r="F208" s="144"/>
    </row>
    <row r="209" spans="6:6" x14ac:dyDescent="0.25">
      <c r="F209" s="144"/>
    </row>
    <row r="210" spans="6:6" x14ac:dyDescent="0.25">
      <c r="F210" s="144"/>
    </row>
    <row r="211" spans="6:6" x14ac:dyDescent="0.25">
      <c r="F211" s="144"/>
    </row>
    <row r="212" spans="6:6" x14ac:dyDescent="0.25">
      <c r="F212" s="144"/>
    </row>
    <row r="213" spans="6:6" x14ac:dyDescent="0.25">
      <c r="F213" s="144"/>
    </row>
    <row r="214" spans="6:6" x14ac:dyDescent="0.25">
      <c r="F214" s="144"/>
    </row>
    <row r="215" spans="6:6" x14ac:dyDescent="0.25">
      <c r="F215" s="144"/>
    </row>
    <row r="216" spans="6:6" x14ac:dyDescent="0.25">
      <c r="F216" s="144"/>
    </row>
    <row r="217" spans="6:6" x14ac:dyDescent="0.25">
      <c r="F217" s="144"/>
    </row>
    <row r="218" spans="6:6" x14ac:dyDescent="0.25">
      <c r="F218" s="144"/>
    </row>
    <row r="219" spans="6:6" x14ac:dyDescent="0.25">
      <c r="F219" s="144"/>
    </row>
    <row r="220" spans="6:6" x14ac:dyDescent="0.25">
      <c r="F220" s="144"/>
    </row>
    <row r="221" spans="6:6" x14ac:dyDescent="0.25">
      <c r="F221" s="144"/>
    </row>
    <row r="222" spans="6:6" x14ac:dyDescent="0.25">
      <c r="F222" s="144"/>
    </row>
    <row r="223" spans="6:6" x14ac:dyDescent="0.25">
      <c r="F223" s="144"/>
    </row>
    <row r="224" spans="6:6" x14ac:dyDescent="0.25">
      <c r="F224" s="144"/>
    </row>
    <row r="225" spans="6:6" x14ac:dyDescent="0.25">
      <c r="F225" s="144"/>
    </row>
    <row r="226" spans="6:6" x14ac:dyDescent="0.25">
      <c r="F226" s="144"/>
    </row>
    <row r="227" spans="6:6" x14ac:dyDescent="0.25">
      <c r="F227" s="144"/>
    </row>
    <row r="228" spans="6:6" x14ac:dyDescent="0.25">
      <c r="F228" s="144"/>
    </row>
    <row r="229" spans="6:6" x14ac:dyDescent="0.25">
      <c r="F229" s="144"/>
    </row>
    <row r="230" spans="6:6" x14ac:dyDescent="0.25">
      <c r="F230" s="144"/>
    </row>
    <row r="231" spans="6:6" x14ac:dyDescent="0.25">
      <c r="F231" s="144"/>
    </row>
    <row r="232" spans="6:6" x14ac:dyDescent="0.25">
      <c r="F232" s="144"/>
    </row>
    <row r="233" spans="6:6" x14ac:dyDescent="0.25">
      <c r="F233" s="144"/>
    </row>
    <row r="234" spans="6:6" x14ac:dyDescent="0.25">
      <c r="F234" s="144"/>
    </row>
    <row r="235" spans="6:6" x14ac:dyDescent="0.25">
      <c r="F235" s="144"/>
    </row>
    <row r="236" spans="6:6" x14ac:dyDescent="0.25">
      <c r="F236" s="144"/>
    </row>
    <row r="237" spans="6:6" x14ac:dyDescent="0.25">
      <c r="F237" s="144"/>
    </row>
    <row r="238" spans="6:6" x14ac:dyDescent="0.25">
      <c r="F238" s="144"/>
    </row>
    <row r="239" spans="6:6" x14ac:dyDescent="0.25">
      <c r="F239" s="144"/>
    </row>
    <row r="240" spans="6:6" x14ac:dyDescent="0.25">
      <c r="F240" s="144"/>
    </row>
    <row r="241" spans="6:6" x14ac:dyDescent="0.25">
      <c r="F241" s="144"/>
    </row>
    <row r="242" spans="6:6" x14ac:dyDescent="0.25">
      <c r="F242" s="144"/>
    </row>
    <row r="243" spans="6:6" x14ac:dyDescent="0.25">
      <c r="F243" s="144"/>
    </row>
    <row r="244" spans="6:6" x14ac:dyDescent="0.25">
      <c r="F244" s="144"/>
    </row>
    <row r="245" spans="6:6" x14ac:dyDescent="0.25">
      <c r="F245" s="144"/>
    </row>
    <row r="246" spans="6:6" x14ac:dyDescent="0.25">
      <c r="F246" s="144"/>
    </row>
    <row r="247" spans="6:6" x14ac:dyDescent="0.25">
      <c r="F247" s="144"/>
    </row>
    <row r="248" spans="6:6" x14ac:dyDescent="0.25">
      <c r="F248" s="144"/>
    </row>
    <row r="249" spans="6:6" x14ac:dyDescent="0.25">
      <c r="F249" s="144"/>
    </row>
    <row r="250" spans="6:6" x14ac:dyDescent="0.25">
      <c r="F250" s="144"/>
    </row>
    <row r="251" spans="6:6" x14ac:dyDescent="0.25">
      <c r="F251" s="144"/>
    </row>
    <row r="252" spans="6:6" x14ac:dyDescent="0.25">
      <c r="F252" s="144"/>
    </row>
    <row r="253" spans="6:6" x14ac:dyDescent="0.25">
      <c r="F253" s="144"/>
    </row>
    <row r="254" spans="6:6" x14ac:dyDescent="0.25">
      <c r="F254" s="144"/>
    </row>
    <row r="255" spans="6:6" x14ac:dyDescent="0.25">
      <c r="F255" s="144"/>
    </row>
    <row r="256" spans="6:6" x14ac:dyDescent="0.25">
      <c r="F256" s="144"/>
    </row>
    <row r="257" spans="6:6" x14ac:dyDescent="0.25">
      <c r="F257" s="144"/>
    </row>
    <row r="258" spans="6:6" x14ac:dyDescent="0.25">
      <c r="F258" s="144"/>
    </row>
    <row r="259" spans="6:6" x14ac:dyDescent="0.25">
      <c r="F259" s="144"/>
    </row>
    <row r="260" spans="6:6" x14ac:dyDescent="0.25">
      <c r="F260" s="144"/>
    </row>
    <row r="261" spans="6:6" x14ac:dyDescent="0.25">
      <c r="F261" s="144"/>
    </row>
    <row r="262" spans="6:6" x14ac:dyDescent="0.25">
      <c r="F262" s="144"/>
    </row>
    <row r="263" spans="6:6" x14ac:dyDescent="0.25">
      <c r="F263" s="144"/>
    </row>
    <row r="264" spans="6:6" x14ac:dyDescent="0.25">
      <c r="F264" s="144"/>
    </row>
    <row r="265" spans="6:6" x14ac:dyDescent="0.25">
      <c r="F265" s="144"/>
    </row>
    <row r="266" spans="6:6" x14ac:dyDescent="0.25">
      <c r="F266" s="144"/>
    </row>
    <row r="267" spans="6:6" x14ac:dyDescent="0.25">
      <c r="F267" s="144"/>
    </row>
    <row r="268" spans="6:6" x14ac:dyDescent="0.25">
      <c r="F268" s="144"/>
    </row>
    <row r="269" spans="6:6" x14ac:dyDescent="0.25">
      <c r="F269" s="144"/>
    </row>
    <row r="270" spans="6:6" x14ac:dyDescent="0.25">
      <c r="F270" s="144"/>
    </row>
    <row r="271" spans="6:6" x14ac:dyDescent="0.25">
      <c r="F271" s="144"/>
    </row>
    <row r="272" spans="6:6" x14ac:dyDescent="0.25">
      <c r="F272" s="144"/>
    </row>
    <row r="273" spans="6:6" x14ac:dyDescent="0.25">
      <c r="F273" s="144"/>
    </row>
    <row r="274" spans="6:6" x14ac:dyDescent="0.25">
      <c r="F274" s="144"/>
    </row>
    <row r="275" spans="6:6" x14ac:dyDescent="0.25">
      <c r="F275" s="144"/>
    </row>
    <row r="276" spans="6:6" x14ac:dyDescent="0.25">
      <c r="F276" s="144"/>
    </row>
    <row r="277" spans="6:6" x14ac:dyDescent="0.25">
      <c r="F277" s="144"/>
    </row>
    <row r="278" spans="6:6" x14ac:dyDescent="0.25">
      <c r="F278" s="144"/>
    </row>
    <row r="279" spans="6:6" x14ac:dyDescent="0.25">
      <c r="F279" s="144"/>
    </row>
    <row r="280" spans="6:6" x14ac:dyDescent="0.25">
      <c r="F280" s="144"/>
    </row>
    <row r="281" spans="6:6" x14ac:dyDescent="0.25">
      <c r="F281" s="144"/>
    </row>
    <row r="282" spans="6:6" x14ac:dyDescent="0.25">
      <c r="F282" s="144"/>
    </row>
    <row r="283" spans="6:6" x14ac:dyDescent="0.25">
      <c r="F283" s="144"/>
    </row>
    <row r="284" spans="6:6" x14ac:dyDescent="0.25">
      <c r="F284" s="144"/>
    </row>
    <row r="285" spans="6:6" x14ac:dyDescent="0.25">
      <c r="F285" s="144"/>
    </row>
    <row r="286" spans="6:6" x14ac:dyDescent="0.25">
      <c r="F286" s="144"/>
    </row>
    <row r="287" spans="6:6" x14ac:dyDescent="0.25">
      <c r="F287" s="144"/>
    </row>
    <row r="288" spans="6:6" x14ac:dyDescent="0.25">
      <c r="F288" s="144"/>
    </row>
    <row r="289" spans="6:6" x14ac:dyDescent="0.25">
      <c r="F289" s="144"/>
    </row>
    <row r="290" spans="6:6" x14ac:dyDescent="0.25">
      <c r="F290" s="144"/>
    </row>
    <row r="291" spans="6:6" x14ac:dyDescent="0.25">
      <c r="F291" s="144"/>
    </row>
    <row r="292" spans="6:6" x14ac:dyDescent="0.25">
      <c r="F292" s="144"/>
    </row>
    <row r="293" spans="6:6" x14ac:dyDescent="0.25">
      <c r="F293" s="144"/>
    </row>
    <row r="294" spans="6:6" x14ac:dyDescent="0.25">
      <c r="F294" s="144"/>
    </row>
    <row r="295" spans="6:6" x14ac:dyDescent="0.25">
      <c r="F295" s="144"/>
    </row>
    <row r="296" spans="6:6" x14ac:dyDescent="0.25">
      <c r="F296" s="144"/>
    </row>
    <row r="297" spans="6:6" x14ac:dyDescent="0.25">
      <c r="F297" s="144"/>
    </row>
    <row r="298" spans="6:6" x14ac:dyDescent="0.25">
      <c r="F298" s="144"/>
    </row>
    <row r="299" spans="6:6" x14ac:dyDescent="0.25">
      <c r="F299" s="144"/>
    </row>
    <row r="300" spans="6:6" x14ac:dyDescent="0.25">
      <c r="F300" s="144"/>
    </row>
    <row r="301" spans="6:6" x14ac:dyDescent="0.25">
      <c r="F301" s="144"/>
    </row>
    <row r="302" spans="6:6" x14ac:dyDescent="0.25">
      <c r="F302" s="144"/>
    </row>
    <row r="303" spans="6:6" x14ac:dyDescent="0.25">
      <c r="F303" s="144"/>
    </row>
    <row r="304" spans="6:6" x14ac:dyDescent="0.25">
      <c r="F304" s="144"/>
    </row>
    <row r="305" spans="6:6" x14ac:dyDescent="0.25">
      <c r="F305" s="144"/>
    </row>
    <row r="306" spans="6:6" x14ac:dyDescent="0.25">
      <c r="F306" s="144"/>
    </row>
    <row r="307" spans="6:6" x14ac:dyDescent="0.25">
      <c r="F307" s="144"/>
    </row>
    <row r="308" spans="6:6" x14ac:dyDescent="0.25">
      <c r="F308" s="144"/>
    </row>
    <row r="309" spans="6:6" x14ac:dyDescent="0.25">
      <c r="F309" s="144"/>
    </row>
    <row r="310" spans="6:6" x14ac:dyDescent="0.25">
      <c r="F310" s="144"/>
    </row>
    <row r="311" spans="6:6" x14ac:dyDescent="0.25">
      <c r="F311" s="144"/>
    </row>
    <row r="312" spans="6:6" x14ac:dyDescent="0.25">
      <c r="F312" s="144"/>
    </row>
    <row r="313" spans="6:6" x14ac:dyDescent="0.25">
      <c r="F313" s="144"/>
    </row>
    <row r="314" spans="6:6" x14ac:dyDescent="0.25">
      <c r="F314" s="144"/>
    </row>
    <row r="315" spans="6:6" x14ac:dyDescent="0.25">
      <c r="F315" s="144"/>
    </row>
    <row r="316" spans="6:6" x14ac:dyDescent="0.25">
      <c r="F316" s="144"/>
    </row>
    <row r="317" spans="6:6" x14ac:dyDescent="0.25">
      <c r="F317" s="144"/>
    </row>
    <row r="318" spans="6:6" x14ac:dyDescent="0.25">
      <c r="F318" s="144"/>
    </row>
    <row r="319" spans="6:6" x14ac:dyDescent="0.25">
      <c r="F319" s="144"/>
    </row>
    <row r="320" spans="6:6" x14ac:dyDescent="0.25">
      <c r="F320" s="144"/>
    </row>
    <row r="321" spans="6:6" x14ac:dyDescent="0.25">
      <c r="F321" s="144"/>
    </row>
    <row r="322" spans="6:6" x14ac:dyDescent="0.25">
      <c r="F322" s="144"/>
    </row>
    <row r="323" spans="6:6" x14ac:dyDescent="0.25">
      <c r="F323" s="144"/>
    </row>
    <row r="324" spans="6:6" x14ac:dyDescent="0.25">
      <c r="F324" s="144"/>
    </row>
    <row r="325" spans="6:6" x14ac:dyDescent="0.25">
      <c r="F325" s="144"/>
    </row>
    <row r="326" spans="6:6" x14ac:dyDescent="0.25">
      <c r="F326" s="144"/>
    </row>
    <row r="327" spans="6:6" x14ac:dyDescent="0.25">
      <c r="F327" s="144"/>
    </row>
    <row r="328" spans="6:6" x14ac:dyDescent="0.25">
      <c r="F328" s="144"/>
    </row>
    <row r="329" spans="6:6" x14ac:dyDescent="0.25">
      <c r="F329" s="144"/>
    </row>
    <row r="330" spans="6:6" x14ac:dyDescent="0.25">
      <c r="F330" s="144"/>
    </row>
    <row r="331" spans="6:6" x14ac:dyDescent="0.25">
      <c r="F331" s="144"/>
    </row>
    <row r="332" spans="6:6" x14ac:dyDescent="0.25">
      <c r="F332" s="144"/>
    </row>
    <row r="333" spans="6:6" x14ac:dyDescent="0.25">
      <c r="F333" s="144"/>
    </row>
    <row r="334" spans="6:6" x14ac:dyDescent="0.25">
      <c r="F334" s="144"/>
    </row>
    <row r="335" spans="6:6" x14ac:dyDescent="0.25">
      <c r="F335" s="144"/>
    </row>
    <row r="336" spans="6:6" x14ac:dyDescent="0.25">
      <c r="F336" s="144"/>
    </row>
    <row r="337" spans="6:6" x14ac:dyDescent="0.25">
      <c r="F337" s="144"/>
    </row>
    <row r="338" spans="6:6" x14ac:dyDescent="0.25">
      <c r="F338" s="144"/>
    </row>
    <row r="339" spans="6:6" x14ac:dyDescent="0.25">
      <c r="F339" s="144"/>
    </row>
    <row r="340" spans="6:6" x14ac:dyDescent="0.25">
      <c r="F340" s="144"/>
    </row>
    <row r="341" spans="6:6" x14ac:dyDescent="0.25">
      <c r="F341" s="144"/>
    </row>
    <row r="342" spans="6:6" x14ac:dyDescent="0.25">
      <c r="F342" s="144"/>
    </row>
    <row r="343" spans="6:6" x14ac:dyDescent="0.25">
      <c r="F343" s="144"/>
    </row>
    <row r="344" spans="6:6" x14ac:dyDescent="0.25">
      <c r="F344" s="144"/>
    </row>
    <row r="345" spans="6:6" x14ac:dyDescent="0.25">
      <c r="F345" s="144"/>
    </row>
    <row r="346" spans="6:6" x14ac:dyDescent="0.25">
      <c r="F346" s="144"/>
    </row>
    <row r="347" spans="6:6" x14ac:dyDescent="0.25">
      <c r="F347" s="144"/>
    </row>
    <row r="348" spans="6:6" x14ac:dyDescent="0.25">
      <c r="F348" s="144"/>
    </row>
    <row r="349" spans="6:6" x14ac:dyDescent="0.25">
      <c r="F349" s="144"/>
    </row>
    <row r="350" spans="6:6" x14ac:dyDescent="0.25">
      <c r="F350" s="144"/>
    </row>
    <row r="351" spans="6:6" x14ac:dyDescent="0.25">
      <c r="F351" s="144"/>
    </row>
    <row r="352" spans="6:6" x14ac:dyDescent="0.25">
      <c r="F352" s="144"/>
    </row>
    <row r="353" spans="6:6" x14ac:dyDescent="0.25">
      <c r="F353" s="144"/>
    </row>
    <row r="354" spans="6:6" x14ac:dyDescent="0.25">
      <c r="F354" s="144"/>
    </row>
    <row r="355" spans="6:6" x14ac:dyDescent="0.25">
      <c r="F355" s="144"/>
    </row>
    <row r="356" spans="6:6" x14ac:dyDescent="0.25">
      <c r="F356" s="144"/>
    </row>
    <row r="357" spans="6:6" x14ac:dyDescent="0.25">
      <c r="F357" s="144"/>
    </row>
    <row r="358" spans="6:6" x14ac:dyDescent="0.25">
      <c r="F358" s="144"/>
    </row>
    <row r="359" spans="6:6" x14ac:dyDescent="0.25">
      <c r="F359" s="144"/>
    </row>
    <row r="360" spans="6:6" x14ac:dyDescent="0.25">
      <c r="F360" s="144"/>
    </row>
    <row r="361" spans="6:6" x14ac:dyDescent="0.25">
      <c r="F361" s="144"/>
    </row>
    <row r="362" spans="6:6" x14ac:dyDescent="0.25">
      <c r="F362" s="144"/>
    </row>
    <row r="363" spans="6:6" x14ac:dyDescent="0.25">
      <c r="F363" s="144"/>
    </row>
    <row r="364" spans="6:6" x14ac:dyDescent="0.25">
      <c r="F364" s="144"/>
    </row>
    <row r="365" spans="6:6" x14ac:dyDescent="0.25">
      <c r="F365" s="144"/>
    </row>
    <row r="366" spans="6:6" x14ac:dyDescent="0.25">
      <c r="F366" s="144"/>
    </row>
    <row r="367" spans="6:6" x14ac:dyDescent="0.25">
      <c r="F367" s="144"/>
    </row>
    <row r="368" spans="6:6" x14ac:dyDescent="0.25">
      <c r="F368" s="144"/>
    </row>
    <row r="369" spans="6:6" x14ac:dyDescent="0.25">
      <c r="F369" s="144"/>
    </row>
    <row r="370" spans="6:6" x14ac:dyDescent="0.25">
      <c r="F370" s="144"/>
    </row>
    <row r="371" spans="6:6" x14ac:dyDescent="0.25">
      <c r="F371" s="144"/>
    </row>
    <row r="372" spans="6:6" x14ac:dyDescent="0.25">
      <c r="F372" s="144"/>
    </row>
    <row r="373" spans="6:6" x14ac:dyDescent="0.25">
      <c r="F373" s="144"/>
    </row>
    <row r="374" spans="6:6" x14ac:dyDescent="0.25">
      <c r="F374" s="144"/>
    </row>
    <row r="375" spans="6:6" x14ac:dyDescent="0.25">
      <c r="F375" s="144"/>
    </row>
    <row r="376" spans="6:6" x14ac:dyDescent="0.25">
      <c r="F376" s="144"/>
    </row>
    <row r="377" spans="6:6" x14ac:dyDescent="0.25">
      <c r="F377" s="144"/>
    </row>
    <row r="378" spans="6:6" x14ac:dyDescent="0.25">
      <c r="F378" s="144"/>
    </row>
    <row r="379" spans="6:6" x14ac:dyDescent="0.25">
      <c r="F379" s="144"/>
    </row>
    <row r="380" spans="6:6" x14ac:dyDescent="0.25">
      <c r="F380" s="144"/>
    </row>
    <row r="381" spans="6:6" x14ac:dyDescent="0.25">
      <c r="F381" s="144"/>
    </row>
    <row r="382" spans="6:6" x14ac:dyDescent="0.25">
      <c r="F382" s="144"/>
    </row>
    <row r="383" spans="6:6" x14ac:dyDescent="0.25">
      <c r="F383" s="144"/>
    </row>
    <row r="384" spans="6:6" x14ac:dyDescent="0.25">
      <c r="F384" s="144"/>
    </row>
    <row r="385" spans="6:6" x14ac:dyDescent="0.25">
      <c r="F385" s="144"/>
    </row>
    <row r="386" spans="6:6" x14ac:dyDescent="0.25">
      <c r="F386" s="144"/>
    </row>
    <row r="387" spans="6:6" x14ac:dyDescent="0.25">
      <c r="F387" s="144"/>
    </row>
    <row r="388" spans="6:6" x14ac:dyDescent="0.25">
      <c r="F388" s="144"/>
    </row>
    <row r="389" spans="6:6" x14ac:dyDescent="0.25">
      <c r="F389" s="144"/>
    </row>
    <row r="390" spans="6:6" x14ac:dyDescent="0.25">
      <c r="F390" s="144"/>
    </row>
    <row r="391" spans="6:6" x14ac:dyDescent="0.25">
      <c r="F391" s="144"/>
    </row>
    <row r="392" spans="6:6" x14ac:dyDescent="0.25">
      <c r="F392" s="144"/>
    </row>
    <row r="393" spans="6:6" x14ac:dyDescent="0.25">
      <c r="F393" s="144"/>
    </row>
    <row r="394" spans="6:6" x14ac:dyDescent="0.25">
      <c r="F394" s="144"/>
    </row>
    <row r="395" spans="6:6" x14ac:dyDescent="0.25">
      <c r="F395" s="144"/>
    </row>
    <row r="396" spans="6:6" x14ac:dyDescent="0.25">
      <c r="F396" s="144"/>
    </row>
    <row r="397" spans="6:6" x14ac:dyDescent="0.25">
      <c r="F397" s="144"/>
    </row>
    <row r="398" spans="6:6" x14ac:dyDescent="0.25">
      <c r="F398" s="144"/>
    </row>
    <row r="399" spans="6:6" x14ac:dyDescent="0.25">
      <c r="F399" s="144"/>
    </row>
    <row r="400" spans="6:6" x14ac:dyDescent="0.25">
      <c r="F400" s="144"/>
    </row>
    <row r="401" spans="6:6" x14ac:dyDescent="0.25">
      <c r="F401" s="144"/>
    </row>
    <row r="402" spans="6:6" x14ac:dyDescent="0.25">
      <c r="F402" s="144"/>
    </row>
    <row r="403" spans="6:6" x14ac:dyDescent="0.25">
      <c r="F403" s="144"/>
    </row>
    <row r="404" spans="6:6" x14ac:dyDescent="0.25">
      <c r="F404" s="144"/>
    </row>
    <row r="405" spans="6:6" x14ac:dyDescent="0.25">
      <c r="F405" s="144"/>
    </row>
    <row r="406" spans="6:6" x14ac:dyDescent="0.25">
      <c r="F406" s="144"/>
    </row>
    <row r="407" spans="6:6" x14ac:dyDescent="0.25">
      <c r="F407" s="144"/>
    </row>
    <row r="408" spans="6:6" x14ac:dyDescent="0.25">
      <c r="F408" s="144"/>
    </row>
    <row r="409" spans="6:6" x14ac:dyDescent="0.25">
      <c r="F409" s="144"/>
    </row>
    <row r="410" spans="6:6" x14ac:dyDescent="0.25">
      <c r="F410" s="144"/>
    </row>
    <row r="411" spans="6:6" x14ac:dyDescent="0.25">
      <c r="F411" s="144"/>
    </row>
    <row r="412" spans="6:6" x14ac:dyDescent="0.25">
      <c r="F412" s="144"/>
    </row>
    <row r="413" spans="6:6" x14ac:dyDescent="0.25">
      <c r="F413" s="144"/>
    </row>
    <row r="414" spans="6:6" x14ac:dyDescent="0.25">
      <c r="F414" s="144"/>
    </row>
    <row r="415" spans="6:6" x14ac:dyDescent="0.25">
      <c r="F415" s="144"/>
    </row>
    <row r="416" spans="6:6" x14ac:dyDescent="0.25">
      <c r="F416" s="144"/>
    </row>
    <row r="417" spans="6:6" x14ac:dyDescent="0.25">
      <c r="F417" s="144"/>
    </row>
    <row r="418" spans="6:6" x14ac:dyDescent="0.25">
      <c r="F418" s="144"/>
    </row>
    <row r="419" spans="6:6" x14ac:dyDescent="0.25">
      <c r="F419" s="144"/>
    </row>
    <row r="420" spans="6:6" x14ac:dyDescent="0.25">
      <c r="F420" s="144"/>
    </row>
    <row r="421" spans="6:6" x14ac:dyDescent="0.25">
      <c r="F421" s="144"/>
    </row>
    <row r="422" spans="6:6" x14ac:dyDescent="0.25">
      <c r="F422" s="144"/>
    </row>
    <row r="423" spans="6:6" x14ac:dyDescent="0.25">
      <c r="F423" s="144"/>
    </row>
    <row r="424" spans="6:6" x14ac:dyDescent="0.25">
      <c r="F424" s="144"/>
    </row>
    <row r="425" spans="6:6" x14ac:dyDescent="0.25">
      <c r="F425" s="144"/>
    </row>
    <row r="426" spans="6:6" x14ac:dyDescent="0.25">
      <c r="F426" s="144"/>
    </row>
    <row r="427" spans="6:6" x14ac:dyDescent="0.25">
      <c r="F427" s="144"/>
    </row>
    <row r="428" spans="6:6" x14ac:dyDescent="0.25">
      <c r="F428" s="144"/>
    </row>
    <row r="429" spans="6:6" x14ac:dyDescent="0.25">
      <c r="F429" s="144"/>
    </row>
    <row r="430" spans="6:6" x14ac:dyDescent="0.25">
      <c r="F430" s="144"/>
    </row>
    <row r="431" spans="6:6" x14ac:dyDescent="0.25">
      <c r="F431" s="144"/>
    </row>
    <row r="432" spans="6:6" x14ac:dyDescent="0.25">
      <c r="F432" s="144"/>
    </row>
    <row r="433" spans="6:6" x14ac:dyDescent="0.25">
      <c r="F433" s="144"/>
    </row>
    <row r="434" spans="6:6" x14ac:dyDescent="0.25">
      <c r="F434" s="144"/>
    </row>
    <row r="435" spans="6:6" x14ac:dyDescent="0.25">
      <c r="F435" s="144"/>
    </row>
    <row r="436" spans="6:6" x14ac:dyDescent="0.25">
      <c r="F436" s="144"/>
    </row>
    <row r="437" spans="6:6" x14ac:dyDescent="0.25">
      <c r="F437" s="144"/>
    </row>
    <row r="438" spans="6:6" x14ac:dyDescent="0.25">
      <c r="F438" s="144"/>
    </row>
    <row r="439" spans="6:6" x14ac:dyDescent="0.25">
      <c r="F439" s="144"/>
    </row>
    <row r="440" spans="6:6" x14ac:dyDescent="0.25">
      <c r="F440" s="144"/>
    </row>
    <row r="441" spans="6:6" x14ac:dyDescent="0.25">
      <c r="F441" s="144"/>
    </row>
    <row r="442" spans="6:6" x14ac:dyDescent="0.25">
      <c r="F442" s="144"/>
    </row>
    <row r="443" spans="6:6" x14ac:dyDescent="0.25">
      <c r="F443" s="144"/>
    </row>
    <row r="444" spans="6:6" x14ac:dyDescent="0.25">
      <c r="F444" s="144"/>
    </row>
    <row r="445" spans="6:6" x14ac:dyDescent="0.25">
      <c r="F445" s="144"/>
    </row>
    <row r="446" spans="6:6" x14ac:dyDescent="0.25">
      <c r="F446" s="144"/>
    </row>
    <row r="447" spans="6:6" x14ac:dyDescent="0.25">
      <c r="F447" s="144"/>
    </row>
    <row r="448" spans="6:6" x14ac:dyDescent="0.25">
      <c r="F448" s="144"/>
    </row>
    <row r="449" spans="6:6" x14ac:dyDescent="0.25">
      <c r="F449" s="144"/>
    </row>
    <row r="450" spans="6:6" x14ac:dyDescent="0.25">
      <c r="F450" s="144"/>
    </row>
    <row r="451" spans="6:6" x14ac:dyDescent="0.25">
      <c r="F451" s="144"/>
    </row>
    <row r="452" spans="6:6" x14ac:dyDescent="0.25">
      <c r="F452" s="144"/>
    </row>
    <row r="453" spans="6:6" x14ac:dyDescent="0.25">
      <c r="F453" s="144"/>
    </row>
    <row r="454" spans="6:6" x14ac:dyDescent="0.25">
      <c r="F454" s="144"/>
    </row>
    <row r="455" spans="6:6" x14ac:dyDescent="0.25">
      <c r="F455" s="144"/>
    </row>
    <row r="456" spans="6:6" x14ac:dyDescent="0.25">
      <c r="F456" s="144"/>
    </row>
    <row r="457" spans="6:6" x14ac:dyDescent="0.25">
      <c r="F457" s="144"/>
    </row>
    <row r="458" spans="6:6" x14ac:dyDescent="0.25">
      <c r="F458" s="144"/>
    </row>
    <row r="459" spans="6:6" x14ac:dyDescent="0.25">
      <c r="F459" s="144"/>
    </row>
    <row r="460" spans="6:6" x14ac:dyDescent="0.25">
      <c r="F460" s="144"/>
    </row>
    <row r="461" spans="6:6" x14ac:dyDescent="0.25">
      <c r="F461" s="144"/>
    </row>
    <row r="462" spans="6:6" x14ac:dyDescent="0.25">
      <c r="F462" s="144"/>
    </row>
    <row r="463" spans="6:6" x14ac:dyDescent="0.25">
      <c r="F463" s="144"/>
    </row>
    <row r="464" spans="6:6" x14ac:dyDescent="0.25">
      <c r="F464" s="144"/>
    </row>
    <row r="465" spans="6:6" x14ac:dyDescent="0.25">
      <c r="F465" s="144"/>
    </row>
    <row r="466" spans="6:6" x14ac:dyDescent="0.25">
      <c r="F466" s="144"/>
    </row>
    <row r="467" spans="6:6" x14ac:dyDescent="0.25">
      <c r="F467" s="144"/>
    </row>
    <row r="468" spans="6:6" x14ac:dyDescent="0.25">
      <c r="F468" s="144"/>
    </row>
    <row r="469" spans="6:6" x14ac:dyDescent="0.25">
      <c r="F469" s="144"/>
    </row>
    <row r="470" spans="6:6" x14ac:dyDescent="0.25">
      <c r="F470" s="144"/>
    </row>
    <row r="471" spans="6:6" x14ac:dyDescent="0.25">
      <c r="F471" s="144"/>
    </row>
    <row r="472" spans="6:6" x14ac:dyDescent="0.25">
      <c r="F472" s="144"/>
    </row>
    <row r="473" spans="6:6" x14ac:dyDescent="0.25">
      <c r="F473" s="144"/>
    </row>
    <row r="474" spans="6:6" x14ac:dyDescent="0.25">
      <c r="F474" s="144"/>
    </row>
    <row r="475" spans="6:6" x14ac:dyDescent="0.25">
      <c r="F475" s="144"/>
    </row>
    <row r="476" spans="6:6" x14ac:dyDescent="0.25">
      <c r="F476" s="144"/>
    </row>
    <row r="477" spans="6:6" x14ac:dyDescent="0.25">
      <c r="F477" s="144"/>
    </row>
    <row r="478" spans="6:6" x14ac:dyDescent="0.25">
      <c r="F478" s="144"/>
    </row>
    <row r="479" spans="6:6" x14ac:dyDescent="0.25">
      <c r="F479" s="144"/>
    </row>
    <row r="480" spans="6:6" x14ac:dyDescent="0.25">
      <c r="F480" s="144"/>
    </row>
    <row r="481" spans="6:6" x14ac:dyDescent="0.25">
      <c r="F481" s="144"/>
    </row>
    <row r="482" spans="6:6" x14ac:dyDescent="0.25">
      <c r="F482" s="144"/>
    </row>
    <row r="483" spans="6:6" x14ac:dyDescent="0.25">
      <c r="F483" s="144"/>
    </row>
    <row r="484" spans="6:6" x14ac:dyDescent="0.25">
      <c r="F484" s="144"/>
    </row>
    <row r="485" spans="6:6" x14ac:dyDescent="0.25">
      <c r="F485" s="144"/>
    </row>
    <row r="486" spans="6:6" x14ac:dyDescent="0.25">
      <c r="F486" s="144"/>
    </row>
    <row r="487" spans="6:6" x14ac:dyDescent="0.25">
      <c r="F487" s="144"/>
    </row>
    <row r="488" spans="6:6" x14ac:dyDescent="0.25">
      <c r="F488" s="144"/>
    </row>
    <row r="489" spans="6:6" x14ac:dyDescent="0.25">
      <c r="F489" s="144"/>
    </row>
    <row r="490" spans="6:6" x14ac:dyDescent="0.25">
      <c r="F490" s="144"/>
    </row>
    <row r="491" spans="6:6" x14ac:dyDescent="0.25">
      <c r="F491" s="144"/>
    </row>
    <row r="492" spans="6:6" x14ac:dyDescent="0.25">
      <c r="F492" s="144"/>
    </row>
    <row r="493" spans="6:6" x14ac:dyDescent="0.25">
      <c r="F493" s="144"/>
    </row>
    <row r="494" spans="6:6" x14ac:dyDescent="0.25">
      <c r="F494" s="144"/>
    </row>
    <row r="495" spans="6:6" x14ac:dyDescent="0.25">
      <c r="F495" s="144"/>
    </row>
    <row r="496" spans="6:6" x14ac:dyDescent="0.25">
      <c r="F496" s="144"/>
    </row>
    <row r="497" spans="6:6" x14ac:dyDescent="0.25">
      <c r="F497" s="144"/>
    </row>
    <row r="498" spans="6:6" x14ac:dyDescent="0.25">
      <c r="F498" s="144"/>
    </row>
    <row r="499" spans="6:6" x14ac:dyDescent="0.25">
      <c r="F499" s="144"/>
    </row>
    <row r="500" spans="6:6" x14ac:dyDescent="0.25">
      <c r="F500" s="144"/>
    </row>
    <row r="501" spans="6:6" x14ac:dyDescent="0.25">
      <c r="F501" s="144"/>
    </row>
    <row r="502" spans="6:6" x14ac:dyDescent="0.25">
      <c r="F502" s="144"/>
    </row>
    <row r="503" spans="6:6" x14ac:dyDescent="0.25">
      <c r="F503" s="144"/>
    </row>
    <row r="504" spans="6:6" x14ac:dyDescent="0.25">
      <c r="F504" s="144"/>
    </row>
    <row r="505" spans="6:6" x14ac:dyDescent="0.25">
      <c r="F505" s="144"/>
    </row>
    <row r="506" spans="6:6" x14ac:dyDescent="0.25">
      <c r="F506" s="144"/>
    </row>
    <row r="507" spans="6:6" x14ac:dyDescent="0.25">
      <c r="F507" s="144"/>
    </row>
    <row r="508" spans="6:6" x14ac:dyDescent="0.25">
      <c r="F508" s="144"/>
    </row>
    <row r="509" spans="6:6" x14ac:dyDescent="0.25">
      <c r="F509" s="144"/>
    </row>
    <row r="510" spans="6:6" x14ac:dyDescent="0.25">
      <c r="F510" s="144"/>
    </row>
    <row r="511" spans="6:6" x14ac:dyDescent="0.25">
      <c r="F511" s="144"/>
    </row>
    <row r="512" spans="6:6" x14ac:dyDescent="0.25">
      <c r="F512" s="144"/>
    </row>
    <row r="513" spans="6:6" x14ac:dyDescent="0.25">
      <c r="F513" s="144"/>
    </row>
    <row r="514" spans="6:6" x14ac:dyDescent="0.25">
      <c r="F514" s="144"/>
    </row>
    <row r="515" spans="6:6" x14ac:dyDescent="0.25">
      <c r="F515" s="144"/>
    </row>
    <row r="516" spans="6:6" x14ac:dyDescent="0.25">
      <c r="F516" s="144"/>
    </row>
    <row r="517" spans="6:6" x14ac:dyDescent="0.25">
      <c r="F517" s="144"/>
    </row>
    <row r="518" spans="6:6" x14ac:dyDescent="0.25">
      <c r="F518" s="144"/>
    </row>
    <row r="519" spans="6:6" x14ac:dyDescent="0.25">
      <c r="F519" s="144"/>
    </row>
    <row r="520" spans="6:6" x14ac:dyDescent="0.25">
      <c r="F520" s="144"/>
    </row>
    <row r="521" spans="6:6" x14ac:dyDescent="0.25">
      <c r="F521" s="144"/>
    </row>
    <row r="522" spans="6:6" x14ac:dyDescent="0.25">
      <c r="F522" s="144"/>
    </row>
    <row r="523" spans="6:6" x14ac:dyDescent="0.25">
      <c r="F523" s="144"/>
    </row>
    <row r="524" spans="6:6" x14ac:dyDescent="0.25">
      <c r="F524" s="144"/>
    </row>
    <row r="525" spans="6:6" x14ac:dyDescent="0.25">
      <c r="F525" s="144"/>
    </row>
    <row r="526" spans="6:6" x14ac:dyDescent="0.25">
      <c r="F526" s="144"/>
    </row>
    <row r="527" spans="6:6" x14ac:dyDescent="0.25">
      <c r="F527" s="144"/>
    </row>
    <row r="528" spans="6:6" x14ac:dyDescent="0.25">
      <c r="F528" s="144"/>
    </row>
    <row r="529" spans="6:6" x14ac:dyDescent="0.25">
      <c r="F529" s="144"/>
    </row>
    <row r="530" spans="6:6" x14ac:dyDescent="0.25">
      <c r="F530" s="144"/>
    </row>
    <row r="531" spans="6:6" x14ac:dyDescent="0.25">
      <c r="F531" s="144"/>
    </row>
    <row r="532" spans="6:6" x14ac:dyDescent="0.25">
      <c r="F532" s="144"/>
    </row>
    <row r="533" spans="6:6" x14ac:dyDescent="0.25">
      <c r="F533" s="144"/>
    </row>
    <row r="534" spans="6:6" x14ac:dyDescent="0.25">
      <c r="F534" s="144"/>
    </row>
    <row r="535" spans="6:6" x14ac:dyDescent="0.25">
      <c r="F535" s="144"/>
    </row>
    <row r="536" spans="6:6" x14ac:dyDescent="0.25">
      <c r="F536" s="144"/>
    </row>
    <row r="537" spans="6:6" x14ac:dyDescent="0.25">
      <c r="F537" s="144"/>
    </row>
    <row r="538" spans="6:6" x14ac:dyDescent="0.25">
      <c r="F538" s="144"/>
    </row>
    <row r="539" spans="6:6" x14ac:dyDescent="0.25">
      <c r="F539" s="144"/>
    </row>
    <row r="540" spans="6:6" x14ac:dyDescent="0.25">
      <c r="F540" s="144"/>
    </row>
    <row r="541" spans="6:6" x14ac:dyDescent="0.25">
      <c r="F541" s="144"/>
    </row>
    <row r="542" spans="6:6" x14ac:dyDescent="0.25">
      <c r="F542" s="144"/>
    </row>
    <row r="543" spans="6:6" x14ac:dyDescent="0.25">
      <c r="F543" s="144"/>
    </row>
    <row r="544" spans="6:6" x14ac:dyDescent="0.25">
      <c r="F544" s="144"/>
    </row>
    <row r="545" spans="6:6" x14ac:dyDescent="0.25">
      <c r="F545" s="144"/>
    </row>
    <row r="546" spans="6:6" x14ac:dyDescent="0.25">
      <c r="F546" s="144"/>
    </row>
    <row r="547" spans="6:6" x14ac:dyDescent="0.25">
      <c r="F547" s="144"/>
    </row>
    <row r="548" spans="6:6" x14ac:dyDescent="0.25">
      <c r="F548" s="144"/>
    </row>
    <row r="549" spans="6:6" x14ac:dyDescent="0.25">
      <c r="F549" s="144"/>
    </row>
    <row r="550" spans="6:6" x14ac:dyDescent="0.25">
      <c r="F550" s="144"/>
    </row>
    <row r="551" spans="6:6" x14ac:dyDescent="0.25">
      <c r="F551" s="144"/>
    </row>
    <row r="552" spans="6:6" x14ac:dyDescent="0.25">
      <c r="F552" s="144"/>
    </row>
    <row r="553" spans="6:6" x14ac:dyDescent="0.25">
      <c r="F553" s="144"/>
    </row>
    <row r="554" spans="6:6" x14ac:dyDescent="0.25">
      <c r="F554" s="144"/>
    </row>
    <row r="555" spans="6:6" x14ac:dyDescent="0.25">
      <c r="F555" s="144"/>
    </row>
    <row r="556" spans="6:6" x14ac:dyDescent="0.25">
      <c r="F556" s="144"/>
    </row>
    <row r="557" spans="6:6" x14ac:dyDescent="0.25">
      <c r="F557" s="144"/>
    </row>
    <row r="558" spans="6:6" x14ac:dyDescent="0.25">
      <c r="F558" s="144"/>
    </row>
    <row r="559" spans="6:6" x14ac:dyDescent="0.25">
      <c r="F559" s="144"/>
    </row>
    <row r="560" spans="6:6" x14ac:dyDescent="0.25">
      <c r="F560" s="144"/>
    </row>
    <row r="561" spans="6:6" x14ac:dyDescent="0.25">
      <c r="F561" s="144"/>
    </row>
    <row r="562" spans="6:6" x14ac:dyDescent="0.25">
      <c r="F562" s="144"/>
    </row>
    <row r="563" spans="6:6" x14ac:dyDescent="0.25">
      <c r="F563" s="144"/>
    </row>
    <row r="564" spans="6:6" x14ac:dyDescent="0.25">
      <c r="F564" s="144"/>
    </row>
    <row r="565" spans="6:6" x14ac:dyDescent="0.25">
      <c r="F565" s="144"/>
    </row>
    <row r="566" spans="6:6" x14ac:dyDescent="0.25">
      <c r="F566" s="144"/>
    </row>
    <row r="567" spans="6:6" x14ac:dyDescent="0.25">
      <c r="F567" s="144"/>
    </row>
    <row r="568" spans="6:6" x14ac:dyDescent="0.25">
      <c r="F568" s="144"/>
    </row>
    <row r="569" spans="6:6" x14ac:dyDescent="0.25">
      <c r="F569" s="144"/>
    </row>
    <row r="570" spans="6:6" x14ac:dyDescent="0.25">
      <c r="F570" s="144"/>
    </row>
    <row r="571" spans="6:6" x14ac:dyDescent="0.25">
      <c r="F571" s="144"/>
    </row>
    <row r="572" spans="6:6" x14ac:dyDescent="0.25">
      <c r="F572" s="144"/>
    </row>
    <row r="573" spans="6:6" x14ac:dyDescent="0.25">
      <c r="F573" s="144"/>
    </row>
    <row r="574" spans="6:6" x14ac:dyDescent="0.25">
      <c r="F574" s="144"/>
    </row>
    <row r="575" spans="6:6" x14ac:dyDescent="0.25">
      <c r="F575" s="144"/>
    </row>
    <row r="576" spans="6:6" x14ac:dyDescent="0.25">
      <c r="F576" s="144"/>
    </row>
    <row r="577" spans="6:6" x14ac:dyDescent="0.25">
      <c r="F577" s="144"/>
    </row>
    <row r="578" spans="6:6" x14ac:dyDescent="0.25">
      <c r="F578" s="144"/>
    </row>
    <row r="579" spans="6:6" x14ac:dyDescent="0.25">
      <c r="F579" s="144"/>
    </row>
    <row r="580" spans="6:6" x14ac:dyDescent="0.25">
      <c r="F580" s="144"/>
    </row>
    <row r="581" spans="6:6" x14ac:dyDescent="0.25">
      <c r="F581" s="144"/>
    </row>
    <row r="582" spans="6:6" x14ac:dyDescent="0.25">
      <c r="F582" s="144"/>
    </row>
    <row r="583" spans="6:6" x14ac:dyDescent="0.25">
      <c r="F583" s="144"/>
    </row>
    <row r="584" spans="6:6" x14ac:dyDescent="0.25">
      <c r="F584" s="144"/>
    </row>
    <row r="585" spans="6:6" x14ac:dyDescent="0.25">
      <c r="F585" s="144"/>
    </row>
    <row r="586" spans="6:6" x14ac:dyDescent="0.25">
      <c r="F586" s="144"/>
    </row>
    <row r="587" spans="6:6" x14ac:dyDescent="0.25">
      <c r="F587" s="144"/>
    </row>
    <row r="588" spans="6:6" x14ac:dyDescent="0.25">
      <c r="F588" s="144"/>
    </row>
    <row r="589" spans="6:6" x14ac:dyDescent="0.25">
      <c r="F589" s="144"/>
    </row>
    <row r="590" spans="6:6" x14ac:dyDescent="0.25">
      <c r="F590" s="144"/>
    </row>
    <row r="591" spans="6:6" x14ac:dyDescent="0.25">
      <c r="F591" s="144"/>
    </row>
    <row r="592" spans="6:6" x14ac:dyDescent="0.25">
      <c r="F592" s="144"/>
    </row>
    <row r="593" spans="6:6" x14ac:dyDescent="0.25">
      <c r="F593" s="144"/>
    </row>
    <row r="594" spans="6:6" x14ac:dyDescent="0.25">
      <c r="F594" s="144"/>
    </row>
    <row r="595" spans="6:6" x14ac:dyDescent="0.25">
      <c r="F595" s="144"/>
    </row>
    <row r="596" spans="6:6" x14ac:dyDescent="0.25">
      <c r="F596" s="144"/>
    </row>
    <row r="597" spans="6:6" x14ac:dyDescent="0.25">
      <c r="F597" s="144"/>
    </row>
    <row r="598" spans="6:6" x14ac:dyDescent="0.25">
      <c r="F598" s="144"/>
    </row>
    <row r="599" spans="6:6" x14ac:dyDescent="0.25">
      <c r="F599" s="144"/>
    </row>
    <row r="600" spans="6:6" x14ac:dyDescent="0.25">
      <c r="F600" s="144"/>
    </row>
    <row r="601" spans="6:6" x14ac:dyDescent="0.25">
      <c r="F601" s="144"/>
    </row>
    <row r="602" spans="6:6" x14ac:dyDescent="0.25">
      <c r="F602" s="144"/>
    </row>
    <row r="603" spans="6:6" x14ac:dyDescent="0.25">
      <c r="F603" s="144"/>
    </row>
    <row r="604" spans="6:6" x14ac:dyDescent="0.25">
      <c r="F604" s="144"/>
    </row>
    <row r="605" spans="6:6" x14ac:dyDescent="0.25">
      <c r="F605" s="144"/>
    </row>
    <row r="606" spans="6:6" x14ac:dyDescent="0.25">
      <c r="F606" s="144"/>
    </row>
    <row r="607" spans="6:6" x14ac:dyDescent="0.25">
      <c r="F607" s="144"/>
    </row>
    <row r="608" spans="6:6" x14ac:dyDescent="0.25">
      <c r="F608" s="144"/>
    </row>
    <row r="609" spans="6:6" x14ac:dyDescent="0.25">
      <c r="F609" s="144"/>
    </row>
    <row r="610" spans="6:6" x14ac:dyDescent="0.25">
      <c r="F610" s="144"/>
    </row>
    <row r="611" spans="6:6" x14ac:dyDescent="0.25">
      <c r="F611" s="144"/>
    </row>
    <row r="612" spans="6:6" x14ac:dyDescent="0.25">
      <c r="F612" s="144"/>
    </row>
    <row r="613" spans="6:6" x14ac:dyDescent="0.25">
      <c r="F613" s="144"/>
    </row>
    <row r="614" spans="6:6" x14ac:dyDescent="0.25">
      <c r="F614" s="144"/>
    </row>
    <row r="615" spans="6:6" x14ac:dyDescent="0.25">
      <c r="F615" s="144"/>
    </row>
    <row r="616" spans="6:6" x14ac:dyDescent="0.25">
      <c r="F616" s="144"/>
    </row>
    <row r="617" spans="6:6" x14ac:dyDescent="0.25">
      <c r="F617" s="144"/>
    </row>
    <row r="618" spans="6:6" x14ac:dyDescent="0.25">
      <c r="F618" s="144"/>
    </row>
    <row r="619" spans="6:6" x14ac:dyDescent="0.25">
      <c r="F619" s="144"/>
    </row>
    <row r="620" spans="6:6" x14ac:dyDescent="0.25">
      <c r="F620" s="144"/>
    </row>
    <row r="621" spans="6:6" x14ac:dyDescent="0.25">
      <c r="F621" s="144"/>
    </row>
    <row r="622" spans="6:6" x14ac:dyDescent="0.25">
      <c r="F622" s="144"/>
    </row>
    <row r="623" spans="6:6" x14ac:dyDescent="0.25">
      <c r="F623" s="144"/>
    </row>
    <row r="624" spans="6:6" x14ac:dyDescent="0.25">
      <c r="F624" s="144"/>
    </row>
    <row r="625" spans="6:6" x14ac:dyDescent="0.25">
      <c r="F625" s="144"/>
    </row>
    <row r="626" spans="6:6" x14ac:dyDescent="0.25">
      <c r="F626" s="144"/>
    </row>
    <row r="627" spans="6:6" x14ac:dyDescent="0.25">
      <c r="F627" s="144"/>
    </row>
    <row r="628" spans="6:6" x14ac:dyDescent="0.25">
      <c r="F628" s="144"/>
    </row>
    <row r="629" spans="6:6" x14ac:dyDescent="0.25">
      <c r="F629" s="144"/>
    </row>
    <row r="630" spans="6:6" x14ac:dyDescent="0.25">
      <c r="F630" s="144"/>
    </row>
    <row r="631" spans="6:6" x14ac:dyDescent="0.25">
      <c r="F631" s="144"/>
    </row>
    <row r="632" spans="6:6" x14ac:dyDescent="0.25">
      <c r="F632" s="144"/>
    </row>
    <row r="633" spans="6:6" x14ac:dyDescent="0.25">
      <c r="F633" s="144"/>
    </row>
    <row r="634" spans="6:6" x14ac:dyDescent="0.25">
      <c r="F634" s="144"/>
    </row>
    <row r="635" spans="6:6" x14ac:dyDescent="0.25">
      <c r="F635" s="144"/>
    </row>
    <row r="636" spans="6:6" x14ac:dyDescent="0.25">
      <c r="F636" s="144"/>
    </row>
    <row r="637" spans="6:6" x14ac:dyDescent="0.25">
      <c r="F637" s="144"/>
    </row>
    <row r="638" spans="6:6" x14ac:dyDescent="0.25">
      <c r="F638" s="144"/>
    </row>
    <row r="639" spans="6:6" x14ac:dyDescent="0.25">
      <c r="F639" s="144"/>
    </row>
    <row r="640" spans="6:6" x14ac:dyDescent="0.25">
      <c r="F640" s="144"/>
    </row>
    <row r="641" spans="6:6" x14ac:dyDescent="0.25">
      <c r="F641" s="144"/>
    </row>
    <row r="642" spans="6:6" x14ac:dyDescent="0.25">
      <c r="F642" s="144"/>
    </row>
    <row r="643" spans="6:6" x14ac:dyDescent="0.25">
      <c r="F643" s="144"/>
    </row>
    <row r="644" spans="6:6" x14ac:dyDescent="0.25">
      <c r="F644" s="144"/>
    </row>
    <row r="645" spans="6:6" x14ac:dyDescent="0.25">
      <c r="F645" s="144"/>
    </row>
    <row r="646" spans="6:6" x14ac:dyDescent="0.25">
      <c r="F646" s="144"/>
    </row>
    <row r="647" spans="6:6" x14ac:dyDescent="0.25">
      <c r="F647" s="144"/>
    </row>
    <row r="648" spans="6:6" x14ac:dyDescent="0.25">
      <c r="F648" s="144"/>
    </row>
    <row r="649" spans="6:6" x14ac:dyDescent="0.25">
      <c r="F649" s="144"/>
    </row>
    <row r="650" spans="6:6" x14ac:dyDescent="0.25">
      <c r="F650" s="144"/>
    </row>
    <row r="651" spans="6:6" x14ac:dyDescent="0.25">
      <c r="F651" s="144"/>
    </row>
    <row r="652" spans="6:6" x14ac:dyDescent="0.25">
      <c r="F652" s="144"/>
    </row>
    <row r="653" spans="6:6" x14ac:dyDescent="0.25">
      <c r="F653" s="144"/>
    </row>
    <row r="654" spans="6:6" x14ac:dyDescent="0.25">
      <c r="F654" s="144"/>
    </row>
    <row r="655" spans="6:6" x14ac:dyDescent="0.25">
      <c r="F655" s="144"/>
    </row>
    <row r="656" spans="6:6" x14ac:dyDescent="0.25">
      <c r="F656" s="144"/>
    </row>
    <row r="657" spans="6:6" x14ac:dyDescent="0.25">
      <c r="F657" s="144"/>
    </row>
    <row r="658" spans="6:6" x14ac:dyDescent="0.25">
      <c r="F658" s="144"/>
    </row>
    <row r="659" spans="6:6" x14ac:dyDescent="0.25">
      <c r="F659" s="144"/>
    </row>
    <row r="660" spans="6:6" x14ac:dyDescent="0.25">
      <c r="F660" s="144"/>
    </row>
    <row r="661" spans="6:6" x14ac:dyDescent="0.25">
      <c r="F661" s="144"/>
    </row>
    <row r="662" spans="6:6" x14ac:dyDescent="0.25">
      <c r="F662" s="144"/>
    </row>
    <row r="663" spans="6:6" x14ac:dyDescent="0.25">
      <c r="F663" s="144"/>
    </row>
    <row r="664" spans="6:6" x14ac:dyDescent="0.25">
      <c r="F664" s="144"/>
    </row>
    <row r="665" spans="6:6" x14ac:dyDescent="0.25">
      <c r="F665" s="144"/>
    </row>
    <row r="666" spans="6:6" x14ac:dyDescent="0.25">
      <c r="F666" s="144"/>
    </row>
    <row r="667" spans="6:6" x14ac:dyDescent="0.25">
      <c r="F667" s="144"/>
    </row>
    <row r="668" spans="6:6" x14ac:dyDescent="0.25">
      <c r="F668" s="144"/>
    </row>
    <row r="669" spans="6:6" x14ac:dyDescent="0.25">
      <c r="F669" s="144"/>
    </row>
    <row r="670" spans="6:6" x14ac:dyDescent="0.25">
      <c r="F670" s="144"/>
    </row>
    <row r="671" spans="6:6" x14ac:dyDescent="0.25">
      <c r="F671" s="144"/>
    </row>
    <row r="672" spans="6:6" x14ac:dyDescent="0.25">
      <c r="F672" s="144"/>
    </row>
    <row r="673" spans="6:6" x14ac:dyDescent="0.25">
      <c r="F673" s="144"/>
    </row>
    <row r="674" spans="6:6" x14ac:dyDescent="0.25">
      <c r="F674" s="144"/>
    </row>
    <row r="675" spans="6:6" x14ac:dyDescent="0.25">
      <c r="F675" s="144"/>
    </row>
    <row r="676" spans="6:6" x14ac:dyDescent="0.25">
      <c r="F676" s="144"/>
    </row>
    <row r="677" spans="6:6" x14ac:dyDescent="0.25">
      <c r="F677" s="144"/>
    </row>
    <row r="678" spans="6:6" x14ac:dyDescent="0.25">
      <c r="F678" s="144"/>
    </row>
    <row r="679" spans="6:6" x14ac:dyDescent="0.25">
      <c r="F679" s="144"/>
    </row>
    <row r="680" spans="6:6" x14ac:dyDescent="0.25">
      <c r="F680" s="144"/>
    </row>
    <row r="681" spans="6:6" x14ac:dyDescent="0.25">
      <c r="F681" s="144"/>
    </row>
    <row r="682" spans="6:6" x14ac:dyDescent="0.25">
      <c r="F682" s="144"/>
    </row>
    <row r="683" spans="6:6" x14ac:dyDescent="0.25">
      <c r="F683" s="144"/>
    </row>
    <row r="684" spans="6:6" x14ac:dyDescent="0.25">
      <c r="F684" s="144"/>
    </row>
    <row r="685" spans="6:6" x14ac:dyDescent="0.25">
      <c r="F685" s="144"/>
    </row>
    <row r="686" spans="6:6" x14ac:dyDescent="0.25">
      <c r="F686" s="144"/>
    </row>
    <row r="687" spans="6:6" x14ac:dyDescent="0.25">
      <c r="F687" s="144"/>
    </row>
    <row r="688" spans="6:6" x14ac:dyDescent="0.25">
      <c r="F688" s="144"/>
    </row>
    <row r="689" spans="6:6" x14ac:dyDescent="0.25">
      <c r="F689" s="144"/>
    </row>
    <row r="690" spans="6:6" x14ac:dyDescent="0.25">
      <c r="F690" s="144"/>
    </row>
    <row r="691" spans="6:6" x14ac:dyDescent="0.25">
      <c r="F691" s="144"/>
    </row>
    <row r="692" spans="6:6" x14ac:dyDescent="0.25">
      <c r="F692" s="144"/>
    </row>
    <row r="693" spans="6:6" x14ac:dyDescent="0.25">
      <c r="F693" s="144"/>
    </row>
    <row r="694" spans="6:6" x14ac:dyDescent="0.25">
      <c r="F694" s="144"/>
    </row>
    <row r="695" spans="6:6" x14ac:dyDescent="0.25">
      <c r="F695" s="144"/>
    </row>
    <row r="696" spans="6:6" x14ac:dyDescent="0.25">
      <c r="F696" s="144"/>
    </row>
    <row r="697" spans="6:6" x14ac:dyDescent="0.25">
      <c r="F697" s="144"/>
    </row>
    <row r="698" spans="6:6" x14ac:dyDescent="0.25">
      <c r="F698" s="144"/>
    </row>
    <row r="699" spans="6:6" x14ac:dyDescent="0.25">
      <c r="F699" s="144"/>
    </row>
    <row r="700" spans="6:6" x14ac:dyDescent="0.25">
      <c r="F700" s="144"/>
    </row>
    <row r="701" spans="6:6" x14ac:dyDescent="0.25">
      <c r="F701" s="144"/>
    </row>
    <row r="702" spans="6:6" x14ac:dyDescent="0.25">
      <c r="F702" s="144"/>
    </row>
    <row r="703" spans="6:6" x14ac:dyDescent="0.25">
      <c r="F703" s="144"/>
    </row>
    <row r="704" spans="6:6" x14ac:dyDescent="0.25">
      <c r="F704" s="144"/>
    </row>
    <row r="705" spans="6:6" x14ac:dyDescent="0.25">
      <c r="F705" s="144"/>
    </row>
    <row r="706" spans="6:6" x14ac:dyDescent="0.25">
      <c r="F706" s="144"/>
    </row>
    <row r="707" spans="6:6" x14ac:dyDescent="0.25">
      <c r="F707" s="144"/>
    </row>
    <row r="708" spans="6:6" x14ac:dyDescent="0.25">
      <c r="F708" s="144"/>
    </row>
    <row r="709" spans="6:6" x14ac:dyDescent="0.25">
      <c r="F709" s="144"/>
    </row>
    <row r="710" spans="6:6" x14ac:dyDescent="0.25">
      <c r="F710" s="144"/>
    </row>
    <row r="711" spans="6:6" x14ac:dyDescent="0.25">
      <c r="F711" s="144"/>
    </row>
    <row r="712" spans="6:6" x14ac:dyDescent="0.25">
      <c r="F712" s="144"/>
    </row>
    <row r="713" spans="6:6" x14ac:dyDescent="0.25">
      <c r="F713" s="144"/>
    </row>
    <row r="714" spans="6:6" x14ac:dyDescent="0.25">
      <c r="F714" s="144"/>
    </row>
    <row r="715" spans="6:6" x14ac:dyDescent="0.25">
      <c r="F715" s="144"/>
    </row>
    <row r="716" spans="6:6" x14ac:dyDescent="0.25">
      <c r="F716" s="144"/>
    </row>
    <row r="717" spans="6:6" x14ac:dyDescent="0.25">
      <c r="F717" s="144"/>
    </row>
    <row r="718" spans="6:6" x14ac:dyDescent="0.25">
      <c r="F718" s="144"/>
    </row>
    <row r="719" spans="6:6" x14ac:dyDescent="0.25">
      <c r="F719" s="144"/>
    </row>
    <row r="720" spans="6:6" x14ac:dyDescent="0.25">
      <c r="F720" s="144"/>
    </row>
    <row r="721" spans="6:6" x14ac:dyDescent="0.25">
      <c r="F721" s="144"/>
    </row>
    <row r="722" spans="6:6" x14ac:dyDescent="0.25">
      <c r="F722" s="144"/>
    </row>
    <row r="723" spans="6:6" x14ac:dyDescent="0.25">
      <c r="F723" s="144"/>
    </row>
    <row r="724" spans="6:6" x14ac:dyDescent="0.25">
      <c r="F724" s="144"/>
    </row>
    <row r="725" spans="6:6" x14ac:dyDescent="0.25">
      <c r="F725" s="144"/>
    </row>
    <row r="726" spans="6:6" x14ac:dyDescent="0.25">
      <c r="F726" s="144"/>
    </row>
    <row r="727" spans="6:6" x14ac:dyDescent="0.25">
      <c r="F727" s="144"/>
    </row>
    <row r="728" spans="6:6" x14ac:dyDescent="0.25">
      <c r="F728" s="144"/>
    </row>
    <row r="729" spans="6:6" x14ac:dyDescent="0.25">
      <c r="F729" s="144"/>
    </row>
    <row r="730" spans="6:6" x14ac:dyDescent="0.25">
      <c r="F730" s="144"/>
    </row>
    <row r="731" spans="6:6" x14ac:dyDescent="0.25">
      <c r="F731" s="144"/>
    </row>
    <row r="732" spans="6:6" x14ac:dyDescent="0.25">
      <c r="F732" s="144"/>
    </row>
  </sheetData>
  <mergeCells count="10">
    <mergeCell ref="A24:F24"/>
    <mergeCell ref="A30:F30"/>
    <mergeCell ref="A34:F34"/>
    <mergeCell ref="G37:G39"/>
    <mergeCell ref="G42:G44"/>
    <mergeCell ref="A1:F1"/>
    <mergeCell ref="A6:F6"/>
    <mergeCell ref="A9:F9"/>
    <mergeCell ref="A12:F12"/>
    <mergeCell ref="A17:F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opLeftCell="B1" workbookViewId="0">
      <pane ySplit="5" topLeftCell="A42" activePane="bottomLeft" state="frozenSplit"/>
      <selection activeCell="B1" sqref="B1"/>
      <selection pane="bottomLeft" activeCell="G73" sqref="G73"/>
    </sheetView>
  </sheetViews>
  <sheetFormatPr defaultRowHeight="11.25" x14ac:dyDescent="0.2"/>
  <cols>
    <col min="1" max="1" width="27.5703125" style="147" hidden="1" customWidth="1"/>
    <col min="2" max="2" width="49.140625" style="147" customWidth="1"/>
    <col min="3" max="5" width="20.85546875" style="159" customWidth="1"/>
    <col min="6" max="7" width="13.5703125" style="159" customWidth="1"/>
    <col min="8" max="8" width="13.7109375" style="159" customWidth="1"/>
    <col min="9" max="11" width="9.140625" style="147" customWidth="1"/>
    <col min="12" max="16384" width="9.140625" style="147"/>
  </cols>
  <sheetData>
    <row r="1" spans="1:8" x14ac:dyDescent="0.2">
      <c r="A1" s="146"/>
      <c r="B1" s="297" t="s">
        <v>125</v>
      </c>
      <c r="C1" s="297"/>
      <c r="D1" s="297"/>
      <c r="E1" s="297"/>
      <c r="F1" s="297"/>
      <c r="G1" s="297"/>
      <c r="H1" s="297"/>
    </row>
    <row r="2" spans="1:8" x14ac:dyDescent="0.2">
      <c r="A2" s="146"/>
      <c r="B2" s="297" t="s">
        <v>126</v>
      </c>
      <c r="C2" s="297"/>
      <c r="D2" s="297"/>
      <c r="E2" s="297"/>
      <c r="F2" s="297"/>
      <c r="G2" s="297"/>
      <c r="H2" s="297"/>
    </row>
    <row r="3" spans="1:8" x14ac:dyDescent="0.2">
      <c r="A3" s="146"/>
      <c r="B3" s="148"/>
      <c r="C3" s="148"/>
      <c r="D3" s="148"/>
      <c r="E3" s="148"/>
      <c r="F3" s="148"/>
      <c r="G3" s="148"/>
      <c r="H3" s="148"/>
    </row>
    <row r="4" spans="1:8" x14ac:dyDescent="0.2">
      <c r="A4" s="298" t="s">
        <v>127</v>
      </c>
      <c r="B4" s="298"/>
      <c r="C4" s="298"/>
      <c r="D4" s="298"/>
      <c r="E4" s="298"/>
      <c r="F4" s="298"/>
      <c r="G4" s="298"/>
      <c r="H4" s="298"/>
    </row>
    <row r="5" spans="1:8" s="150" customFormat="1" ht="68.25" customHeight="1" x14ac:dyDescent="0.2">
      <c r="A5" s="153" t="s">
        <v>128</v>
      </c>
      <c r="B5" s="153" t="s">
        <v>129</v>
      </c>
      <c r="C5" s="149" t="s">
        <v>204</v>
      </c>
      <c r="D5" s="149" t="s">
        <v>205</v>
      </c>
      <c r="E5" s="153" t="s">
        <v>206</v>
      </c>
      <c r="F5" s="153" t="s">
        <v>130</v>
      </c>
      <c r="G5" s="153" t="s">
        <v>207</v>
      </c>
      <c r="H5" s="153" t="s">
        <v>208</v>
      </c>
    </row>
    <row r="6" spans="1:8" x14ac:dyDescent="0.2">
      <c r="A6" s="145" t="s">
        <v>131</v>
      </c>
      <c r="B6" s="145" t="s">
        <v>132</v>
      </c>
      <c r="C6" s="154">
        <v>10672000</v>
      </c>
      <c r="D6" s="154">
        <v>10216100</v>
      </c>
      <c r="E6" s="154">
        <v>10061460.970000001</v>
      </c>
      <c r="F6" s="154">
        <v>10216100</v>
      </c>
      <c r="G6" s="154">
        <v>10061460.970000001</v>
      </c>
      <c r="H6" s="154">
        <f>E6-G6</f>
        <v>0</v>
      </c>
    </row>
    <row r="7" spans="1:8" s="151" customFormat="1" ht="15" customHeight="1" x14ac:dyDescent="0.2">
      <c r="A7" s="296" t="s">
        <v>133</v>
      </c>
      <c r="B7" s="296"/>
      <c r="C7" s="155">
        <f>C6</f>
        <v>10672000</v>
      </c>
      <c r="D7" s="155">
        <f t="shared" ref="D7:E7" si="0">D6</f>
        <v>10216100</v>
      </c>
      <c r="E7" s="155">
        <f t="shared" si="0"/>
        <v>10061460.970000001</v>
      </c>
      <c r="F7" s="156">
        <f>F6</f>
        <v>10216100</v>
      </c>
      <c r="G7" s="156">
        <f t="shared" ref="G7:H7" si="1">G6</f>
        <v>10061460.970000001</v>
      </c>
      <c r="H7" s="156">
        <f t="shared" si="1"/>
        <v>0</v>
      </c>
    </row>
    <row r="8" spans="1:8" s="152" customFormat="1" ht="23.25" customHeight="1" x14ac:dyDescent="0.2">
      <c r="A8" s="301" t="s">
        <v>134</v>
      </c>
      <c r="B8" s="301"/>
      <c r="C8" s="157">
        <f>C6</f>
        <v>10672000</v>
      </c>
      <c r="D8" s="157">
        <f t="shared" ref="D8:H8" si="2">D6</f>
        <v>10216100</v>
      </c>
      <c r="E8" s="157">
        <f t="shared" si="2"/>
        <v>10061460.970000001</v>
      </c>
      <c r="F8" s="157">
        <f t="shared" si="2"/>
        <v>10216100</v>
      </c>
      <c r="G8" s="157">
        <f t="shared" si="2"/>
        <v>10061460.970000001</v>
      </c>
      <c r="H8" s="157">
        <f t="shared" si="2"/>
        <v>0</v>
      </c>
    </row>
    <row r="9" spans="1:8" x14ac:dyDescent="0.2">
      <c r="A9" s="145" t="s">
        <v>135</v>
      </c>
      <c r="B9" s="145" t="s">
        <v>136</v>
      </c>
      <c r="C9" s="299">
        <v>6145000</v>
      </c>
      <c r="D9" s="299">
        <v>10039042.810000001</v>
      </c>
      <c r="E9" s="299">
        <v>10039042.810000001</v>
      </c>
      <c r="F9" s="154">
        <v>10000</v>
      </c>
      <c r="G9" s="154">
        <v>10000</v>
      </c>
      <c r="H9" s="299">
        <f>E9-G9-G10</f>
        <v>0</v>
      </c>
    </row>
    <row r="10" spans="1:8" x14ac:dyDescent="0.2">
      <c r="A10" s="145" t="s">
        <v>135</v>
      </c>
      <c r="B10" s="145" t="s">
        <v>137</v>
      </c>
      <c r="C10" s="300"/>
      <c r="D10" s="300"/>
      <c r="E10" s="300"/>
      <c r="F10" s="154">
        <v>10029042.810000001</v>
      </c>
      <c r="G10" s="154">
        <v>10029042.810000001</v>
      </c>
      <c r="H10" s="300"/>
    </row>
    <row r="11" spans="1:8" s="151" customFormat="1" ht="15" customHeight="1" x14ac:dyDescent="0.2">
      <c r="A11" s="296" t="s">
        <v>138</v>
      </c>
      <c r="B11" s="296"/>
      <c r="C11" s="155">
        <f>C9</f>
        <v>6145000</v>
      </c>
      <c r="D11" s="155">
        <f t="shared" ref="D11:E11" si="3">D9</f>
        <v>10039042.810000001</v>
      </c>
      <c r="E11" s="155">
        <f t="shared" si="3"/>
        <v>10039042.810000001</v>
      </c>
      <c r="F11" s="156">
        <f>SUM(F9:F10)</f>
        <v>10039042.810000001</v>
      </c>
      <c r="G11" s="156">
        <f t="shared" ref="G11:H11" si="4">SUM(G9:G10)</f>
        <v>10039042.810000001</v>
      </c>
      <c r="H11" s="156">
        <f t="shared" si="4"/>
        <v>0</v>
      </c>
    </row>
    <row r="12" spans="1:8" x14ac:dyDescent="0.2">
      <c r="A12" s="145" t="s">
        <v>139</v>
      </c>
      <c r="B12" s="145" t="s">
        <v>140</v>
      </c>
      <c r="C12" s="299">
        <v>10214000</v>
      </c>
      <c r="D12" s="299">
        <v>6145000</v>
      </c>
      <c r="E12" s="299">
        <v>6145000</v>
      </c>
      <c r="F12" s="154">
        <v>8095</v>
      </c>
      <c r="G12" s="154">
        <v>8095</v>
      </c>
      <c r="H12" s="299">
        <f>E12-G12-G13</f>
        <v>0</v>
      </c>
    </row>
    <row r="13" spans="1:8" x14ac:dyDescent="0.2">
      <c r="A13" s="145" t="s">
        <v>139</v>
      </c>
      <c r="B13" s="145" t="s">
        <v>141</v>
      </c>
      <c r="C13" s="300"/>
      <c r="D13" s="300"/>
      <c r="E13" s="300"/>
      <c r="F13" s="154">
        <v>6136905</v>
      </c>
      <c r="G13" s="154">
        <v>6136905</v>
      </c>
      <c r="H13" s="300"/>
    </row>
    <row r="14" spans="1:8" s="151" customFormat="1" ht="15" customHeight="1" x14ac:dyDescent="0.2">
      <c r="A14" s="296" t="s">
        <v>142</v>
      </c>
      <c r="B14" s="296"/>
      <c r="C14" s="155">
        <f>C12</f>
        <v>10214000</v>
      </c>
      <c r="D14" s="155">
        <f t="shared" ref="D14:E14" si="5">D12</f>
        <v>6145000</v>
      </c>
      <c r="E14" s="155">
        <f t="shared" si="5"/>
        <v>6145000</v>
      </c>
      <c r="F14" s="156">
        <f>SUM(F12:F13)</f>
        <v>6145000</v>
      </c>
      <c r="G14" s="156">
        <f t="shared" ref="G14:H14" si="6">SUM(G12:G13)</f>
        <v>6145000</v>
      </c>
      <c r="H14" s="156">
        <f t="shared" si="6"/>
        <v>0</v>
      </c>
    </row>
    <row r="15" spans="1:8" s="152" customFormat="1" ht="23.25" customHeight="1" x14ac:dyDescent="0.2">
      <c r="A15" s="301" t="s">
        <v>143</v>
      </c>
      <c r="B15" s="301"/>
      <c r="C15" s="157">
        <f>C11+C14</f>
        <v>16359000</v>
      </c>
      <c r="D15" s="157">
        <f t="shared" ref="D15:E15" si="7">D11+D14</f>
        <v>16184042.810000001</v>
      </c>
      <c r="E15" s="157">
        <f t="shared" si="7"/>
        <v>16184042.810000001</v>
      </c>
      <c r="F15" s="157">
        <f t="shared" ref="F15" si="8">F11+F14</f>
        <v>16184042.810000001</v>
      </c>
      <c r="G15" s="157">
        <f t="shared" ref="G15" si="9">G11+G14</f>
        <v>16184042.810000001</v>
      </c>
      <c r="H15" s="157">
        <f t="shared" ref="H15" si="10">H11+H14</f>
        <v>0</v>
      </c>
    </row>
    <row r="16" spans="1:8" x14ac:dyDescent="0.2">
      <c r="A16" s="145" t="s">
        <v>144</v>
      </c>
      <c r="B16" s="145" t="s">
        <v>145</v>
      </c>
      <c r="C16" s="299">
        <f>22883000+5649900</f>
        <v>28532900</v>
      </c>
      <c r="D16" s="299">
        <v>27113731.859999999</v>
      </c>
      <c r="E16" s="299">
        <v>27113731.859999999</v>
      </c>
      <c r="F16" s="154">
        <v>4791</v>
      </c>
      <c r="G16" s="154">
        <v>4791</v>
      </c>
      <c r="H16" s="299">
        <f>E16-G16-G17-G18</f>
        <v>19496.020000000484</v>
      </c>
    </row>
    <row r="17" spans="1:8" x14ac:dyDescent="0.2">
      <c r="A17" s="145" t="s">
        <v>144</v>
      </c>
      <c r="B17" s="145" t="s">
        <v>146</v>
      </c>
      <c r="C17" s="303"/>
      <c r="D17" s="303"/>
      <c r="E17" s="303"/>
      <c r="F17" s="154">
        <v>20859256.649999999</v>
      </c>
      <c r="G17" s="154">
        <v>20839760.629999999</v>
      </c>
      <c r="H17" s="303"/>
    </row>
    <row r="18" spans="1:8" x14ac:dyDescent="0.2">
      <c r="A18" s="145" t="s">
        <v>144</v>
      </c>
      <c r="B18" s="145" t="s">
        <v>147</v>
      </c>
      <c r="C18" s="300"/>
      <c r="D18" s="300"/>
      <c r="E18" s="300"/>
      <c r="F18" s="154">
        <v>6249684.21</v>
      </c>
      <c r="G18" s="154">
        <v>6249684.21</v>
      </c>
      <c r="H18" s="300"/>
    </row>
    <row r="19" spans="1:8" s="151" customFormat="1" ht="15" customHeight="1" x14ac:dyDescent="0.2">
      <c r="A19" s="296" t="s">
        <v>148</v>
      </c>
      <c r="B19" s="296"/>
      <c r="C19" s="155">
        <f>C16</f>
        <v>28532900</v>
      </c>
      <c r="D19" s="155">
        <f t="shared" ref="D19:E19" si="11">D16</f>
        <v>27113731.859999999</v>
      </c>
      <c r="E19" s="155">
        <f t="shared" si="11"/>
        <v>27113731.859999999</v>
      </c>
      <c r="F19" s="156">
        <f>SUM(F16:F18)</f>
        <v>27113731.859999999</v>
      </c>
      <c r="G19" s="156">
        <f t="shared" ref="G19:H19" si="12">SUM(G16:G18)</f>
        <v>27094235.84</v>
      </c>
      <c r="H19" s="156">
        <f t="shared" si="12"/>
        <v>19496.020000000484</v>
      </c>
    </row>
    <row r="20" spans="1:8" x14ac:dyDescent="0.2">
      <c r="A20" s="145" t="s">
        <v>149</v>
      </c>
      <c r="B20" s="145" t="s">
        <v>150</v>
      </c>
      <c r="C20" s="299">
        <f>20017000+4448000</f>
        <v>24465000</v>
      </c>
      <c r="D20" s="299">
        <v>27667491.140000001</v>
      </c>
      <c r="E20" s="299">
        <v>27667491.140000001</v>
      </c>
      <c r="F20" s="154">
        <v>4770</v>
      </c>
      <c r="G20" s="154">
        <v>4770</v>
      </c>
      <c r="H20" s="299">
        <f>E20-G20-G21-G22</f>
        <v>0</v>
      </c>
    </row>
    <row r="21" spans="1:8" x14ac:dyDescent="0.2">
      <c r="A21" s="145" t="s">
        <v>149</v>
      </c>
      <c r="B21" s="145" t="s">
        <v>151</v>
      </c>
      <c r="C21" s="303"/>
      <c r="D21" s="303"/>
      <c r="E21" s="303"/>
      <c r="F21" s="154">
        <v>21996615.870000001</v>
      </c>
      <c r="G21" s="154">
        <v>21996615.870000001</v>
      </c>
      <c r="H21" s="303"/>
    </row>
    <row r="22" spans="1:8" x14ac:dyDescent="0.2">
      <c r="A22" s="145" t="s">
        <v>149</v>
      </c>
      <c r="B22" s="145" t="s">
        <v>152</v>
      </c>
      <c r="C22" s="300"/>
      <c r="D22" s="300"/>
      <c r="E22" s="300"/>
      <c r="F22" s="154">
        <v>5666105.2699999996</v>
      </c>
      <c r="G22" s="154">
        <v>5666105.2699999996</v>
      </c>
      <c r="H22" s="300"/>
    </row>
    <row r="23" spans="1:8" s="151" customFormat="1" ht="15" customHeight="1" x14ac:dyDescent="0.2">
      <c r="A23" s="296" t="s">
        <v>153</v>
      </c>
      <c r="B23" s="296"/>
      <c r="C23" s="155">
        <f>C20</f>
        <v>24465000</v>
      </c>
      <c r="D23" s="155">
        <f t="shared" ref="D23:E23" si="13">D20</f>
        <v>27667491.140000001</v>
      </c>
      <c r="E23" s="155">
        <f t="shared" si="13"/>
        <v>27667491.140000001</v>
      </c>
      <c r="F23" s="156">
        <f>SUM(F20:F22)</f>
        <v>27667491.140000001</v>
      </c>
      <c r="G23" s="156">
        <f t="shared" ref="G23:H23" si="14">SUM(G20:G22)</f>
        <v>27667491.140000001</v>
      </c>
      <c r="H23" s="156">
        <f t="shared" si="14"/>
        <v>0</v>
      </c>
    </row>
    <row r="24" spans="1:8" x14ac:dyDescent="0.2">
      <c r="A24" s="145" t="s">
        <v>154</v>
      </c>
      <c r="B24" s="145" t="s">
        <v>150</v>
      </c>
      <c r="C24" s="299">
        <f>13240000+1202000</f>
        <v>14442000</v>
      </c>
      <c r="D24" s="299">
        <v>11969923.630000001</v>
      </c>
      <c r="E24" s="299">
        <v>11965239.51</v>
      </c>
      <c r="F24" s="154">
        <v>13020</v>
      </c>
      <c r="G24" s="154">
        <v>13020</v>
      </c>
      <c r="H24" s="299">
        <f>E24-G24-G25-G26</f>
        <v>0</v>
      </c>
    </row>
    <row r="25" spans="1:8" x14ac:dyDescent="0.2">
      <c r="A25" s="145" t="s">
        <v>154</v>
      </c>
      <c r="B25" s="145" t="s">
        <v>151</v>
      </c>
      <c r="C25" s="303"/>
      <c r="D25" s="303"/>
      <c r="E25" s="303"/>
      <c r="F25" s="154">
        <v>10425640.48</v>
      </c>
      <c r="G25" s="154">
        <v>10420956.359999999</v>
      </c>
      <c r="H25" s="303"/>
    </row>
    <row r="26" spans="1:8" x14ac:dyDescent="0.2">
      <c r="A26" s="145" t="s">
        <v>154</v>
      </c>
      <c r="B26" s="145" t="s">
        <v>152</v>
      </c>
      <c r="C26" s="300"/>
      <c r="D26" s="300"/>
      <c r="E26" s="300"/>
      <c r="F26" s="154">
        <v>1531263.15</v>
      </c>
      <c r="G26" s="154">
        <v>1531263.15</v>
      </c>
      <c r="H26" s="300"/>
    </row>
    <row r="27" spans="1:8" s="151" customFormat="1" ht="15" customHeight="1" x14ac:dyDescent="0.2">
      <c r="A27" s="296" t="s">
        <v>155</v>
      </c>
      <c r="B27" s="296"/>
      <c r="C27" s="155">
        <f>C24</f>
        <v>14442000</v>
      </c>
      <c r="D27" s="155">
        <f t="shared" ref="D27:E27" si="15">D24</f>
        <v>11969923.630000001</v>
      </c>
      <c r="E27" s="155">
        <f t="shared" si="15"/>
        <v>11965239.51</v>
      </c>
      <c r="F27" s="156">
        <f>SUM(F24:F26)</f>
        <v>11969923.630000001</v>
      </c>
      <c r="G27" s="156">
        <f t="shared" ref="G27:H27" si="16">SUM(G24:G26)</f>
        <v>11965239.51</v>
      </c>
      <c r="H27" s="156">
        <f t="shared" si="16"/>
        <v>0</v>
      </c>
    </row>
    <row r="28" spans="1:8" x14ac:dyDescent="0.2">
      <c r="A28" s="145" t="s">
        <v>156</v>
      </c>
      <c r="B28" s="145" t="s">
        <v>158</v>
      </c>
      <c r="C28" s="299">
        <f>13754000+3341000</f>
        <v>17095000</v>
      </c>
      <c r="D28" s="299">
        <f>F28+F29</f>
        <v>16466981.850000001</v>
      </c>
      <c r="E28" s="299">
        <f>4346150+12771297.64+508930.9-835250-324146.69</f>
        <v>16466981.85</v>
      </c>
      <c r="F28" s="154">
        <v>12771297.640000001</v>
      </c>
      <c r="G28" s="154">
        <v>12756518.810000001</v>
      </c>
      <c r="H28" s="299">
        <f>E28-G28-G29</f>
        <v>14778.829999999143</v>
      </c>
    </row>
    <row r="29" spans="1:8" x14ac:dyDescent="0.2">
      <c r="A29" s="145" t="s">
        <v>156</v>
      </c>
      <c r="B29" s="145" t="s">
        <v>159</v>
      </c>
      <c r="C29" s="300"/>
      <c r="D29" s="300"/>
      <c r="E29" s="300"/>
      <c r="F29" s="154">
        <v>3695684.21</v>
      </c>
      <c r="G29" s="154">
        <v>3695684.21</v>
      </c>
      <c r="H29" s="300"/>
    </row>
    <row r="30" spans="1:8" x14ac:dyDescent="0.2">
      <c r="A30" s="145" t="s">
        <v>156</v>
      </c>
      <c r="B30" s="145" t="s">
        <v>157</v>
      </c>
      <c r="C30" s="299">
        <v>7809000</v>
      </c>
      <c r="D30" s="299">
        <f>F30+F31+F32+F33+F34</f>
        <v>7541524.3799999999</v>
      </c>
      <c r="E30" s="299">
        <f>7541524.38-6047.52</f>
        <v>7535476.8600000003</v>
      </c>
      <c r="F30" s="154">
        <v>5344500</v>
      </c>
      <c r="G30" s="154">
        <v>5323452.4800000004</v>
      </c>
      <c r="H30" s="299">
        <f>E30-G30-G31-G32-G33-G34</f>
        <v>15000</v>
      </c>
    </row>
    <row r="31" spans="1:8" x14ac:dyDescent="0.2">
      <c r="A31" s="145" t="s">
        <v>156</v>
      </c>
      <c r="B31" s="145" t="s">
        <v>160</v>
      </c>
      <c r="C31" s="303"/>
      <c r="D31" s="303"/>
      <c r="E31" s="303"/>
      <c r="F31" s="154">
        <v>20000</v>
      </c>
      <c r="G31" s="154">
        <v>20000</v>
      </c>
      <c r="H31" s="303"/>
    </row>
    <row r="32" spans="1:8" x14ac:dyDescent="0.2">
      <c r="A32" s="145" t="s">
        <v>156</v>
      </c>
      <c r="B32" s="145" t="s">
        <v>161</v>
      </c>
      <c r="C32" s="303"/>
      <c r="D32" s="303"/>
      <c r="E32" s="303"/>
      <c r="F32" s="154">
        <v>2114024.38</v>
      </c>
      <c r="G32" s="154">
        <v>2114024.38</v>
      </c>
      <c r="H32" s="303"/>
    </row>
    <row r="33" spans="1:8" x14ac:dyDescent="0.2">
      <c r="A33" s="145" t="s">
        <v>156</v>
      </c>
      <c r="B33" s="145" t="s">
        <v>162</v>
      </c>
      <c r="C33" s="303"/>
      <c r="D33" s="303"/>
      <c r="E33" s="303"/>
      <c r="F33" s="154">
        <v>20000</v>
      </c>
      <c r="G33" s="154">
        <v>20000</v>
      </c>
      <c r="H33" s="303"/>
    </row>
    <row r="34" spans="1:8" x14ac:dyDescent="0.2">
      <c r="A34" s="145" t="s">
        <v>156</v>
      </c>
      <c r="B34" s="145" t="s">
        <v>163</v>
      </c>
      <c r="C34" s="300"/>
      <c r="D34" s="300"/>
      <c r="E34" s="300"/>
      <c r="F34" s="154">
        <v>43000</v>
      </c>
      <c r="G34" s="154">
        <v>43000</v>
      </c>
      <c r="H34" s="300"/>
    </row>
    <row r="35" spans="1:8" s="151" customFormat="1" ht="15" customHeight="1" x14ac:dyDescent="0.2">
      <c r="A35" s="296" t="s">
        <v>164</v>
      </c>
      <c r="B35" s="296"/>
      <c r="C35" s="155">
        <f>C28+C30</f>
        <v>24904000</v>
      </c>
      <c r="D35" s="155">
        <f t="shared" ref="D35" si="17">D28+D30</f>
        <v>24008506.23</v>
      </c>
      <c r="E35" s="155">
        <f>E28+E30</f>
        <v>24002458.710000001</v>
      </c>
      <c r="F35" s="156">
        <f>SUM(F28:F34)</f>
        <v>24008506.23</v>
      </c>
      <c r="G35" s="156">
        <f t="shared" ref="G35:H35" si="18">SUM(G28:G34)</f>
        <v>23972679.879999999</v>
      </c>
      <c r="H35" s="156">
        <f t="shared" si="18"/>
        <v>29778.829999999143</v>
      </c>
    </row>
    <row r="36" spans="1:8" s="152" customFormat="1" ht="23.25" customHeight="1" x14ac:dyDescent="0.2">
      <c r="A36" s="301" t="s">
        <v>165</v>
      </c>
      <c r="B36" s="301"/>
      <c r="C36" s="157">
        <f>C19+C23+C27+C35</f>
        <v>92343900</v>
      </c>
      <c r="D36" s="157">
        <f t="shared" ref="D36:H36" si="19">D19+D23+D27+D35</f>
        <v>90759652.859999999</v>
      </c>
      <c r="E36" s="157">
        <f t="shared" si="19"/>
        <v>90748921.219999999</v>
      </c>
      <c r="F36" s="157">
        <f t="shared" si="19"/>
        <v>90759652.859999999</v>
      </c>
      <c r="G36" s="157">
        <f t="shared" si="19"/>
        <v>90699646.370000005</v>
      </c>
      <c r="H36" s="157">
        <f t="shared" si="19"/>
        <v>49274.849999999627</v>
      </c>
    </row>
    <row r="37" spans="1:8" x14ac:dyDescent="0.2">
      <c r="A37" s="145" t="s">
        <v>166</v>
      </c>
      <c r="B37" s="145" t="s">
        <v>167</v>
      </c>
      <c r="C37" s="154">
        <v>11929000</v>
      </c>
      <c r="D37" s="154">
        <v>11308057</v>
      </c>
      <c r="E37" s="154">
        <v>11308057</v>
      </c>
      <c r="F37" s="154">
        <v>11308057</v>
      </c>
      <c r="G37" s="154">
        <v>11146861.57</v>
      </c>
      <c r="H37" s="154">
        <f>E37-G37</f>
        <v>161195.4299999997</v>
      </c>
    </row>
    <row r="38" spans="1:8" s="151" customFormat="1" ht="15" customHeight="1" x14ac:dyDescent="0.2">
      <c r="A38" s="296" t="s">
        <v>168</v>
      </c>
      <c r="B38" s="296"/>
      <c r="C38" s="155">
        <f>C37</f>
        <v>11929000</v>
      </c>
      <c r="D38" s="155">
        <f t="shared" ref="D38:E38" si="20">D37</f>
        <v>11308057</v>
      </c>
      <c r="E38" s="155">
        <f t="shared" si="20"/>
        <v>11308057</v>
      </c>
      <c r="F38" s="156">
        <f>F37</f>
        <v>11308057</v>
      </c>
      <c r="G38" s="156">
        <f t="shared" ref="G38:H38" si="21">G37</f>
        <v>11146861.57</v>
      </c>
      <c r="H38" s="156">
        <f t="shared" si="21"/>
        <v>161195.4299999997</v>
      </c>
    </row>
    <row r="39" spans="1:8" x14ac:dyDescent="0.2">
      <c r="A39" s="145" t="s">
        <v>169</v>
      </c>
      <c r="B39" s="145" t="s">
        <v>170</v>
      </c>
      <c r="C39" s="299">
        <v>38827000</v>
      </c>
      <c r="D39" s="299">
        <v>38989454.670000002</v>
      </c>
      <c r="E39" s="299">
        <v>38225695</v>
      </c>
      <c r="F39" s="154">
        <v>38939454.670000002</v>
      </c>
      <c r="G39" s="154">
        <v>37947959.229999997</v>
      </c>
      <c r="H39" s="299">
        <f>E39-G39-G40</f>
        <v>268852.41000000329</v>
      </c>
    </row>
    <row r="40" spans="1:8" x14ac:dyDescent="0.2">
      <c r="A40" s="145" t="s">
        <v>169</v>
      </c>
      <c r="B40" s="145" t="s">
        <v>171</v>
      </c>
      <c r="C40" s="300"/>
      <c r="D40" s="300"/>
      <c r="E40" s="300"/>
      <c r="F40" s="154">
        <v>50000</v>
      </c>
      <c r="G40" s="154">
        <v>8883.36</v>
      </c>
      <c r="H40" s="300"/>
    </row>
    <row r="41" spans="1:8" s="151" customFormat="1" ht="15" customHeight="1" x14ac:dyDescent="0.2">
      <c r="A41" s="296" t="s">
        <v>172</v>
      </c>
      <c r="B41" s="296"/>
      <c r="C41" s="155">
        <f>C39</f>
        <v>38827000</v>
      </c>
      <c r="D41" s="155">
        <f t="shared" ref="D41:E41" si="22">D39</f>
        <v>38989454.670000002</v>
      </c>
      <c r="E41" s="155">
        <f t="shared" si="22"/>
        <v>38225695</v>
      </c>
      <c r="F41" s="156">
        <f>SUM(F39:F40)</f>
        <v>38989454.670000002</v>
      </c>
      <c r="G41" s="156">
        <f t="shared" ref="G41:H41" si="23">SUM(G39:G40)</f>
        <v>37956842.589999996</v>
      </c>
      <c r="H41" s="156">
        <f t="shared" si="23"/>
        <v>268852.41000000329</v>
      </c>
    </row>
    <row r="42" spans="1:8" s="152" customFormat="1" ht="23.25" customHeight="1" x14ac:dyDescent="0.2">
      <c r="A42" s="301" t="s">
        <v>173</v>
      </c>
      <c r="B42" s="301"/>
      <c r="C42" s="157">
        <f>C38+C41</f>
        <v>50756000</v>
      </c>
      <c r="D42" s="157">
        <f t="shared" ref="D42:E42" si="24">D38+D41</f>
        <v>50297511.670000002</v>
      </c>
      <c r="E42" s="157">
        <f t="shared" si="24"/>
        <v>49533752</v>
      </c>
      <c r="F42" s="157">
        <f t="shared" ref="F42" si="25">F38+F41</f>
        <v>50297511.670000002</v>
      </c>
      <c r="G42" s="157">
        <f t="shared" ref="G42" si="26">G38+G41</f>
        <v>49103704.159999996</v>
      </c>
      <c r="H42" s="157">
        <f t="shared" ref="H42" si="27">H38+H41</f>
        <v>430047.84000000299</v>
      </c>
    </row>
    <row r="43" spans="1:8" x14ac:dyDescent="0.2">
      <c r="A43" s="145" t="s">
        <v>174</v>
      </c>
      <c r="B43" s="145" t="s">
        <v>175</v>
      </c>
      <c r="C43" s="154">
        <v>27775000</v>
      </c>
      <c r="D43" s="154">
        <v>24443845.609999999</v>
      </c>
      <c r="E43" s="154">
        <v>24443845.609999999</v>
      </c>
      <c r="F43" s="154">
        <v>24443845.609999999</v>
      </c>
      <c r="G43" s="154">
        <v>24228550.149999999</v>
      </c>
      <c r="H43" s="154">
        <f>E43-G43</f>
        <v>215295.46000000089</v>
      </c>
    </row>
    <row r="44" spans="1:8" s="151" customFormat="1" ht="23.25" customHeight="1" x14ac:dyDescent="0.2">
      <c r="A44" s="296" t="s">
        <v>176</v>
      </c>
      <c r="B44" s="296"/>
      <c r="C44" s="155">
        <f>C43</f>
        <v>27775000</v>
      </c>
      <c r="D44" s="155">
        <f t="shared" ref="D44:E45" si="28">D43</f>
        <v>24443845.609999999</v>
      </c>
      <c r="E44" s="155">
        <f t="shared" si="28"/>
        <v>24443845.609999999</v>
      </c>
      <c r="F44" s="155">
        <f t="shared" ref="F44" si="29">F43</f>
        <v>24443845.609999999</v>
      </c>
      <c r="G44" s="155">
        <f t="shared" ref="G44" si="30">G43</f>
        <v>24228550.149999999</v>
      </c>
      <c r="H44" s="155">
        <f t="shared" ref="H44" si="31">H43</f>
        <v>215295.46000000089</v>
      </c>
    </row>
    <row r="45" spans="1:8" s="152" customFormat="1" ht="23.25" customHeight="1" x14ac:dyDescent="0.2">
      <c r="A45" s="301" t="s">
        <v>177</v>
      </c>
      <c r="B45" s="301"/>
      <c r="C45" s="157">
        <f>C44</f>
        <v>27775000</v>
      </c>
      <c r="D45" s="157">
        <f t="shared" si="28"/>
        <v>24443845.609999999</v>
      </c>
      <c r="E45" s="157">
        <f t="shared" si="28"/>
        <v>24443845.609999999</v>
      </c>
      <c r="F45" s="157">
        <f t="shared" ref="F45" si="32">F44</f>
        <v>24443845.609999999</v>
      </c>
      <c r="G45" s="157">
        <f t="shared" ref="G45" si="33">G44</f>
        <v>24228550.149999999</v>
      </c>
      <c r="H45" s="157">
        <f t="shared" ref="H45" si="34">H44</f>
        <v>215295.46000000089</v>
      </c>
    </row>
    <row r="46" spans="1:8" x14ac:dyDescent="0.2">
      <c r="A46" s="145" t="s">
        <v>178</v>
      </c>
      <c r="B46" s="145" t="s">
        <v>179</v>
      </c>
      <c r="C46" s="299">
        <f>20785000+166400</f>
        <v>20951400</v>
      </c>
      <c r="D46" s="299">
        <v>21491286.879999999</v>
      </c>
      <c r="E46" s="299">
        <v>21491286.879999999</v>
      </c>
      <c r="F46" s="154">
        <v>21192854.780000001</v>
      </c>
      <c r="G46" s="154">
        <v>21105311.59</v>
      </c>
      <c r="H46" s="299">
        <f>E46-G46-G47</f>
        <v>87543.189999999129</v>
      </c>
    </row>
    <row r="47" spans="1:8" x14ac:dyDescent="0.2">
      <c r="A47" s="145" t="s">
        <v>178</v>
      </c>
      <c r="B47" s="145" t="s">
        <v>180</v>
      </c>
      <c r="C47" s="300"/>
      <c r="D47" s="300"/>
      <c r="E47" s="300"/>
      <c r="F47" s="154">
        <v>298432.09999999998</v>
      </c>
      <c r="G47" s="154">
        <v>298432.09999999998</v>
      </c>
      <c r="H47" s="300"/>
    </row>
    <row r="48" spans="1:8" s="151" customFormat="1" ht="15" customHeight="1" x14ac:dyDescent="0.2">
      <c r="A48" s="296" t="s">
        <v>181</v>
      </c>
      <c r="B48" s="296"/>
      <c r="C48" s="155">
        <f>C46</f>
        <v>20951400</v>
      </c>
      <c r="D48" s="155">
        <f t="shared" ref="D48:E48" si="35">D46</f>
        <v>21491286.879999999</v>
      </c>
      <c r="E48" s="155">
        <f t="shared" si="35"/>
        <v>21491286.879999999</v>
      </c>
      <c r="F48" s="156">
        <f>SUM(F46:F47)</f>
        <v>21491286.880000003</v>
      </c>
      <c r="G48" s="156">
        <f t="shared" ref="G48:H48" si="36">SUM(G46:G47)</f>
        <v>21403743.690000001</v>
      </c>
      <c r="H48" s="156">
        <f t="shared" si="36"/>
        <v>87543.189999999129</v>
      </c>
    </row>
    <row r="49" spans="1:8" x14ac:dyDescent="0.2">
      <c r="A49" s="145" t="s">
        <v>182</v>
      </c>
      <c r="B49" s="145" t="s">
        <v>179</v>
      </c>
      <c r="C49" s="299">
        <f>19009000+1552000</f>
        <v>20561000</v>
      </c>
      <c r="D49" s="299">
        <v>19794689.870000001</v>
      </c>
      <c r="E49" s="299">
        <v>19794689.870000001</v>
      </c>
      <c r="F49" s="154">
        <v>18898228.420000002</v>
      </c>
      <c r="G49" s="154">
        <v>18352673.460000001</v>
      </c>
      <c r="H49" s="299">
        <f>E49-G49-G50</f>
        <v>545554.9600000002</v>
      </c>
    </row>
    <row r="50" spans="1:8" x14ac:dyDescent="0.2">
      <c r="A50" s="145" t="s">
        <v>182</v>
      </c>
      <c r="B50" s="145" t="s">
        <v>180</v>
      </c>
      <c r="C50" s="300"/>
      <c r="D50" s="300"/>
      <c r="E50" s="300"/>
      <c r="F50" s="154">
        <v>896461.45</v>
      </c>
      <c r="G50" s="154">
        <v>896461.45</v>
      </c>
      <c r="H50" s="300"/>
    </row>
    <row r="51" spans="1:8" s="151" customFormat="1" ht="15" customHeight="1" x14ac:dyDescent="0.2">
      <c r="A51" s="296" t="s">
        <v>183</v>
      </c>
      <c r="B51" s="296"/>
      <c r="C51" s="155">
        <f>C49</f>
        <v>20561000</v>
      </c>
      <c r="D51" s="155">
        <f t="shared" ref="D51:E51" si="37">D49</f>
        <v>19794689.870000001</v>
      </c>
      <c r="E51" s="155">
        <f t="shared" si="37"/>
        <v>19794689.870000001</v>
      </c>
      <c r="F51" s="156">
        <f>SUM(F49:F50)</f>
        <v>19794689.870000001</v>
      </c>
      <c r="G51" s="156">
        <f t="shared" ref="G51:H51" si="38">SUM(G49:G50)</f>
        <v>19249134.91</v>
      </c>
      <c r="H51" s="156">
        <f t="shared" si="38"/>
        <v>545554.9600000002</v>
      </c>
    </row>
    <row r="52" spans="1:8" x14ac:dyDescent="0.2">
      <c r="A52" s="145" t="s">
        <v>184</v>
      </c>
      <c r="B52" s="145" t="s">
        <v>179</v>
      </c>
      <c r="C52" s="154">
        <v>6895000</v>
      </c>
      <c r="D52" s="154">
        <v>6909651.3700000001</v>
      </c>
      <c r="E52" s="154">
        <v>6909651.3700000001</v>
      </c>
      <c r="F52" s="154">
        <v>6909651.3700000001</v>
      </c>
      <c r="G52" s="154">
        <v>6893066.8200000003</v>
      </c>
      <c r="H52" s="154">
        <f>E52-G52</f>
        <v>16584.549999999814</v>
      </c>
    </row>
    <row r="53" spans="1:8" s="151" customFormat="1" ht="15" customHeight="1" x14ac:dyDescent="0.2">
      <c r="A53" s="296" t="s">
        <v>185</v>
      </c>
      <c r="B53" s="296"/>
      <c r="C53" s="155">
        <f>C52</f>
        <v>6895000</v>
      </c>
      <c r="D53" s="155">
        <f t="shared" ref="D53:E53" si="39">D52</f>
        <v>6909651.3700000001</v>
      </c>
      <c r="E53" s="155">
        <f t="shared" si="39"/>
        <v>6909651.3700000001</v>
      </c>
      <c r="F53" s="156">
        <f>SUM(F52)</f>
        <v>6909651.3700000001</v>
      </c>
      <c r="G53" s="156">
        <f t="shared" ref="G53:H53" si="40">SUM(G52)</f>
        <v>6893066.8200000003</v>
      </c>
      <c r="H53" s="156">
        <f t="shared" si="40"/>
        <v>16584.549999999814</v>
      </c>
    </row>
    <row r="54" spans="1:8" x14ac:dyDescent="0.2">
      <c r="A54" s="145" t="s">
        <v>186</v>
      </c>
      <c r="B54" s="145" t="s">
        <v>187</v>
      </c>
      <c r="C54" s="299">
        <f>13412000+1917000</f>
        <v>15329000</v>
      </c>
      <c r="D54" s="304">
        <v>14278780.17</v>
      </c>
      <c r="E54" s="304">
        <v>14278780.17</v>
      </c>
      <c r="F54" s="154">
        <v>19989.5</v>
      </c>
      <c r="G54" s="154">
        <v>19989.5</v>
      </c>
      <c r="H54" s="299">
        <f>E54-G54-G55-G56</f>
        <v>126113.43999999901</v>
      </c>
    </row>
    <row r="55" spans="1:8" x14ac:dyDescent="0.2">
      <c r="A55" s="145" t="s">
        <v>186</v>
      </c>
      <c r="B55" s="145" t="s">
        <v>179</v>
      </c>
      <c r="C55" s="303"/>
      <c r="D55" s="303"/>
      <c r="E55" s="303"/>
      <c r="F55" s="154">
        <v>13319013.65</v>
      </c>
      <c r="G55" s="154">
        <v>13192900.210000001</v>
      </c>
      <c r="H55" s="303"/>
    </row>
    <row r="56" spans="1:8" x14ac:dyDescent="0.2">
      <c r="A56" s="145" t="s">
        <v>186</v>
      </c>
      <c r="B56" s="145" t="s">
        <v>180</v>
      </c>
      <c r="C56" s="300"/>
      <c r="D56" s="300"/>
      <c r="E56" s="300"/>
      <c r="F56" s="154">
        <v>939777.02</v>
      </c>
      <c r="G56" s="154">
        <v>939777.02</v>
      </c>
      <c r="H56" s="300"/>
    </row>
    <row r="57" spans="1:8" s="151" customFormat="1" ht="15" customHeight="1" x14ac:dyDescent="0.2">
      <c r="A57" s="296" t="s">
        <v>188</v>
      </c>
      <c r="B57" s="296"/>
      <c r="C57" s="155">
        <f>C54</f>
        <v>15329000</v>
      </c>
      <c r="D57" s="155">
        <f t="shared" ref="D57:E57" si="41">D54</f>
        <v>14278780.17</v>
      </c>
      <c r="E57" s="155">
        <f t="shared" si="41"/>
        <v>14278780.17</v>
      </c>
      <c r="F57" s="156">
        <f>SUM(F54:F56)</f>
        <v>14278780.17</v>
      </c>
      <c r="G57" s="156">
        <f t="shared" ref="G57:H57" si="42">SUM(G54:G56)</f>
        <v>14152666.73</v>
      </c>
      <c r="H57" s="156">
        <f t="shared" si="42"/>
        <v>126113.43999999901</v>
      </c>
    </row>
    <row r="58" spans="1:8" x14ac:dyDescent="0.2">
      <c r="A58" s="145" t="s">
        <v>189</v>
      </c>
      <c r="B58" s="145" t="s">
        <v>187</v>
      </c>
      <c r="C58" s="299">
        <f>20962000+805000</f>
        <v>21767000</v>
      </c>
      <c r="D58" s="299">
        <v>21332551.280000001</v>
      </c>
      <c r="E58" s="299">
        <v>21332551.280000001</v>
      </c>
      <c r="F58" s="154">
        <v>18600</v>
      </c>
      <c r="G58" s="154">
        <v>18600</v>
      </c>
      <c r="H58" s="299">
        <f>E58-G58-G59-G60</f>
        <v>96848.680000001448</v>
      </c>
    </row>
    <row r="59" spans="1:8" x14ac:dyDescent="0.2">
      <c r="A59" s="145" t="s">
        <v>189</v>
      </c>
      <c r="B59" s="145" t="s">
        <v>179</v>
      </c>
      <c r="C59" s="303"/>
      <c r="D59" s="303"/>
      <c r="E59" s="303"/>
      <c r="F59" s="154">
        <v>20445388.109999999</v>
      </c>
      <c r="G59" s="154">
        <v>20348539.43</v>
      </c>
      <c r="H59" s="303"/>
    </row>
    <row r="60" spans="1:8" x14ac:dyDescent="0.2">
      <c r="A60" s="145" t="s">
        <v>189</v>
      </c>
      <c r="B60" s="145" t="s">
        <v>180</v>
      </c>
      <c r="C60" s="300"/>
      <c r="D60" s="300"/>
      <c r="E60" s="300"/>
      <c r="F60" s="154">
        <v>868563.17</v>
      </c>
      <c r="G60" s="154">
        <v>868563.17</v>
      </c>
      <c r="H60" s="300"/>
    </row>
    <row r="61" spans="1:8" s="151" customFormat="1" ht="15" customHeight="1" x14ac:dyDescent="0.2">
      <c r="A61" s="296" t="s">
        <v>190</v>
      </c>
      <c r="B61" s="296"/>
      <c r="C61" s="155">
        <f>C58</f>
        <v>21767000</v>
      </c>
      <c r="D61" s="155">
        <f t="shared" ref="D61:E61" si="43">D58</f>
        <v>21332551.280000001</v>
      </c>
      <c r="E61" s="155">
        <f t="shared" si="43"/>
        <v>21332551.280000001</v>
      </c>
      <c r="F61" s="156">
        <f>SUM(F58:F60)</f>
        <v>21332551.280000001</v>
      </c>
      <c r="G61" s="156">
        <f t="shared" ref="G61:H61" si="44">SUM(G58:G60)</f>
        <v>21235702.600000001</v>
      </c>
      <c r="H61" s="156">
        <f t="shared" si="44"/>
        <v>96848.680000001448</v>
      </c>
    </row>
    <row r="62" spans="1:8" s="152" customFormat="1" ht="23.25" customHeight="1" x14ac:dyDescent="0.2">
      <c r="A62" s="301" t="s">
        <v>191</v>
      </c>
      <c r="B62" s="301"/>
      <c r="C62" s="157">
        <f>C48+C51+C53+C57+C61</f>
        <v>85503400</v>
      </c>
      <c r="D62" s="157">
        <f t="shared" ref="D62:E62" si="45">D48+D51+D53+D57+D61</f>
        <v>83806959.569999993</v>
      </c>
      <c r="E62" s="157">
        <f t="shared" si="45"/>
        <v>83806959.569999993</v>
      </c>
      <c r="F62" s="157">
        <f t="shared" ref="F62" si="46">F48+F51+F53+F57+F61</f>
        <v>83806959.569999993</v>
      </c>
      <c r="G62" s="157">
        <f t="shared" ref="G62" si="47">G48+G51+G53+G57+G61</f>
        <v>82934314.75</v>
      </c>
      <c r="H62" s="157">
        <f t="shared" ref="H62" si="48">H48+H51+H53+H57+H61</f>
        <v>872644.8199999996</v>
      </c>
    </row>
    <row r="63" spans="1:8" x14ac:dyDescent="0.2">
      <c r="A63" s="145" t="s">
        <v>192</v>
      </c>
      <c r="B63" s="145" t="s">
        <v>193</v>
      </c>
      <c r="C63" s="154">
        <v>792027800</v>
      </c>
      <c r="D63" s="154">
        <f>889369558.61-7622800</f>
        <v>881746758.61000001</v>
      </c>
      <c r="E63" s="154">
        <v>872335869.62</v>
      </c>
      <c r="F63" s="154">
        <v>881746758.61000001</v>
      </c>
      <c r="G63" s="154">
        <v>872335869.62</v>
      </c>
      <c r="H63" s="154">
        <f t="shared" ref="H63:H68" si="49">E63-G63</f>
        <v>0</v>
      </c>
    </row>
    <row r="64" spans="1:8" x14ac:dyDescent="0.2">
      <c r="A64" s="145" t="s">
        <v>194</v>
      </c>
      <c r="B64" s="145" t="s">
        <v>195</v>
      </c>
      <c r="C64" s="154">
        <v>687065100</v>
      </c>
      <c r="D64" s="154">
        <v>731492822.62</v>
      </c>
      <c r="E64" s="154">
        <v>723534579.70000005</v>
      </c>
      <c r="F64" s="154">
        <v>731492822.62</v>
      </c>
      <c r="G64" s="154">
        <v>723534579.70000005</v>
      </c>
      <c r="H64" s="154">
        <f t="shared" si="49"/>
        <v>0</v>
      </c>
    </row>
    <row r="65" spans="1:17" x14ac:dyDescent="0.2">
      <c r="A65" s="145" t="s">
        <v>196</v>
      </c>
      <c r="B65" s="145" t="s">
        <v>197</v>
      </c>
      <c r="C65" s="154">
        <v>141472100</v>
      </c>
      <c r="D65" s="154">
        <v>129752314.61</v>
      </c>
      <c r="E65" s="154">
        <v>128924853.78</v>
      </c>
      <c r="F65" s="154">
        <v>129752314.61</v>
      </c>
      <c r="G65" s="154">
        <v>128924853.78</v>
      </c>
      <c r="H65" s="154">
        <f t="shared" si="49"/>
        <v>0</v>
      </c>
    </row>
    <row r="66" spans="1:17" x14ac:dyDescent="0.2">
      <c r="A66" s="145" t="s">
        <v>198</v>
      </c>
      <c r="B66" s="145" t="s">
        <v>199</v>
      </c>
      <c r="C66" s="154">
        <v>500000</v>
      </c>
      <c r="D66" s="154">
        <v>149200</v>
      </c>
      <c r="E66" s="154">
        <v>139000</v>
      </c>
      <c r="F66" s="154">
        <v>149200</v>
      </c>
      <c r="G66" s="154">
        <v>139000</v>
      </c>
      <c r="H66" s="154">
        <f t="shared" si="49"/>
        <v>0</v>
      </c>
    </row>
    <row r="67" spans="1:17" x14ac:dyDescent="0.2">
      <c r="A67" s="145" t="s">
        <v>200</v>
      </c>
      <c r="B67" s="145" t="s">
        <v>117</v>
      </c>
      <c r="C67" s="154">
        <v>2983000</v>
      </c>
      <c r="D67" s="154">
        <v>2590725.06</v>
      </c>
      <c r="E67" s="154">
        <v>2574839.98</v>
      </c>
      <c r="F67" s="154">
        <v>2590725.06</v>
      </c>
      <c r="G67" s="154">
        <v>2574839.98</v>
      </c>
      <c r="H67" s="154">
        <f t="shared" si="49"/>
        <v>0</v>
      </c>
    </row>
    <row r="68" spans="1:17" x14ac:dyDescent="0.2">
      <c r="A68" s="145" t="s">
        <v>198</v>
      </c>
      <c r="B68" s="145" t="s">
        <v>201</v>
      </c>
      <c r="C68" s="154">
        <v>21586000</v>
      </c>
      <c r="D68" s="154">
        <v>20634818.719999999</v>
      </c>
      <c r="E68" s="154">
        <v>20452421.379999999</v>
      </c>
      <c r="F68" s="154">
        <v>20634818.719999999</v>
      </c>
      <c r="G68" s="154">
        <v>20452421.379999999</v>
      </c>
      <c r="H68" s="154">
        <f t="shared" si="49"/>
        <v>0</v>
      </c>
    </row>
    <row r="69" spans="1:17" s="152" customFormat="1" ht="23.25" customHeight="1" x14ac:dyDescent="0.2">
      <c r="A69" s="301" t="s">
        <v>202</v>
      </c>
      <c r="B69" s="301"/>
      <c r="C69" s="157">
        <f>SUM(C63:C68)</f>
        <v>1645634000</v>
      </c>
      <c r="D69" s="157">
        <f t="shared" ref="D69:E69" si="50">SUM(D63:D68)</f>
        <v>1766366639.6199999</v>
      </c>
      <c r="E69" s="157">
        <f t="shared" si="50"/>
        <v>1747961564.4600003</v>
      </c>
      <c r="F69" s="157">
        <f t="shared" ref="F69" si="51">SUM(F63:F68)</f>
        <v>1766366639.6199999</v>
      </c>
      <c r="G69" s="157">
        <f t="shared" ref="G69" si="52">SUM(G63:G68)</f>
        <v>1747961564.4600003</v>
      </c>
      <c r="H69" s="157">
        <f t="shared" ref="H69" si="53">SUM(H63:H68)</f>
        <v>0</v>
      </c>
    </row>
    <row r="70" spans="1:17" x14ac:dyDescent="0.2">
      <c r="A70" s="302" t="s">
        <v>203</v>
      </c>
      <c r="B70" s="302"/>
      <c r="C70" s="158">
        <f>C8+C15+C36+C42+C45+C62+C69</f>
        <v>1929043300</v>
      </c>
      <c r="D70" s="158">
        <f t="shared" ref="D70:E70" si="54">D8+D15+D36+D42+D45+D62+D69</f>
        <v>2042074752.1399999</v>
      </c>
      <c r="E70" s="158">
        <f t="shared" si="54"/>
        <v>2022740546.6400003</v>
      </c>
      <c r="F70" s="158">
        <f t="shared" ref="F70" si="55">F8+F15+F36+F42+F45+F62+F69</f>
        <v>2042074752.1399999</v>
      </c>
      <c r="G70" s="158">
        <f t="shared" ref="G70" si="56">G8+G15+G36+G42+G45+G62+G69</f>
        <v>2021173283.6700003</v>
      </c>
      <c r="H70" s="158">
        <f t="shared" ref="H70" si="57">H8+H15+H36+H42+H45+H62+H69</f>
        <v>1567262.970000003</v>
      </c>
    </row>
    <row r="72" spans="1:17" x14ac:dyDescent="0.2">
      <c r="C72" s="195">
        <f>C70-'Администрация (ТК Салават)'!O10-'ГО и ЧС (Пож.охрана)'!O12-'УГХ (Ритуал, Флора)'!O15-ОК!O18-УФКС!O13-КДМ!O11-УО!O24</f>
        <v>0</v>
      </c>
      <c r="D72" s="195">
        <f>D70-'Администрация (ТК Салават)'!P10-'ГО и ЧС (Пож.охрана)'!P12-'УГХ (Ритуал, Флора)'!P15-ОК!P18-УФКС!P13-КДМ!P11-УО!P24</f>
        <v>0</v>
      </c>
      <c r="E72" s="195">
        <f>E70-'Администрация (ТК Салават)'!T10-'ГО и ЧС (Пож.охрана)'!T12-'УГХ (Ритуал, Флора)'!T15-ОК!T18-УФКС!T13-КДМ!T11-УО!T24</f>
        <v>0</v>
      </c>
      <c r="F72" s="195"/>
      <c r="G72" s="195">
        <f>G70-'Администрация (ТК Салават)'!U10-'ГО и ЧС (Пож.охрана)'!U12-'УГХ (Ритуал, Флора)'!U15-ОК!U18-УФКС!U13-КДМ!U11-УО!U24</f>
        <v>0</v>
      </c>
      <c r="H72" s="195">
        <f>H70-'Администрация (ТК Салават)'!AD10-'ГО и ЧС (Пож.охрана)'!AD12-'УГХ (Ритуал, Флора)'!AD15-ОК!AD18-УФКС!AD13-КДМ!AD11-УО!AD24</f>
        <v>4.1909515857696533E-9</v>
      </c>
      <c r="J72" s="195"/>
      <c r="K72" s="195"/>
      <c r="L72" s="195"/>
      <c r="M72" s="195"/>
      <c r="N72" s="195"/>
      <c r="O72" s="195"/>
      <c r="P72" s="195"/>
      <c r="Q72" s="195"/>
    </row>
  </sheetData>
  <autoFilter ref="B5:H70"/>
  <mergeCells count="74">
    <mergeCell ref="H30:H34"/>
    <mergeCell ref="H54:H56"/>
    <mergeCell ref="H58:H60"/>
    <mergeCell ref="H49:H50"/>
    <mergeCell ref="H46:H47"/>
    <mergeCell ref="H9:H10"/>
    <mergeCell ref="H12:H13"/>
    <mergeCell ref="H16:H18"/>
    <mergeCell ref="H20:H22"/>
    <mergeCell ref="H24:H26"/>
    <mergeCell ref="H28:H29"/>
    <mergeCell ref="C58:C60"/>
    <mergeCell ref="D46:D47"/>
    <mergeCell ref="E46:E47"/>
    <mergeCell ref="D49:D50"/>
    <mergeCell ref="E49:E50"/>
    <mergeCell ref="D54:D56"/>
    <mergeCell ref="E54:E56"/>
    <mergeCell ref="D58:D60"/>
    <mergeCell ref="E58:E60"/>
    <mergeCell ref="C39:C40"/>
    <mergeCell ref="D39:D40"/>
    <mergeCell ref="E39:E40"/>
    <mergeCell ref="C46:C47"/>
    <mergeCell ref="C49:C50"/>
    <mergeCell ref="C54:C56"/>
    <mergeCell ref="C24:C26"/>
    <mergeCell ref="D24:D26"/>
    <mergeCell ref="E24:E26"/>
    <mergeCell ref="C28:C29"/>
    <mergeCell ref="C30:C34"/>
    <mergeCell ref="D28:D29"/>
    <mergeCell ref="E28:E29"/>
    <mergeCell ref="D30:D34"/>
    <mergeCell ref="E30:E34"/>
    <mergeCell ref="C16:C18"/>
    <mergeCell ref="D16:D18"/>
    <mergeCell ref="E16:E18"/>
    <mergeCell ref="C20:C22"/>
    <mergeCell ref="D20:D22"/>
    <mergeCell ref="E20:E22"/>
    <mergeCell ref="A57:B57"/>
    <mergeCell ref="A61:B61"/>
    <mergeCell ref="A62:B62"/>
    <mergeCell ref="A69:B69"/>
    <mergeCell ref="A70:B70"/>
    <mergeCell ref="A53:B53"/>
    <mergeCell ref="A23:B23"/>
    <mergeCell ref="A27:B27"/>
    <mergeCell ref="A35:B35"/>
    <mergeCell ref="A36:B36"/>
    <mergeCell ref="A38:B38"/>
    <mergeCell ref="A41:B41"/>
    <mergeCell ref="A42:B42"/>
    <mergeCell ref="A44:B44"/>
    <mergeCell ref="A45:B45"/>
    <mergeCell ref="A48:B48"/>
    <mergeCell ref="A51:B51"/>
    <mergeCell ref="A19:B19"/>
    <mergeCell ref="B1:H1"/>
    <mergeCell ref="B2:H2"/>
    <mergeCell ref="A4:H4"/>
    <mergeCell ref="H39:H40"/>
    <mergeCell ref="A7:B7"/>
    <mergeCell ref="A8:B8"/>
    <mergeCell ref="A11:B11"/>
    <mergeCell ref="A14:B14"/>
    <mergeCell ref="A15:B15"/>
    <mergeCell ref="C9:C10"/>
    <mergeCell ref="D9:D10"/>
    <mergeCell ref="E9:E10"/>
    <mergeCell ref="C12:C13"/>
    <mergeCell ref="D12:D13"/>
    <mergeCell ref="E12:E13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21</vt:i4>
      </vt:variant>
    </vt:vector>
  </HeadingPairs>
  <TitlesOfParts>
    <vt:vector size="30" baseType="lpstr">
      <vt:lpstr>Администрация (ТК Салават)</vt:lpstr>
      <vt:lpstr>ГО и ЧС (Пож.охрана)</vt:lpstr>
      <vt:lpstr>УГХ (Ритуал, Флора)</vt:lpstr>
      <vt:lpstr>ОК</vt:lpstr>
      <vt:lpstr>УФКС</vt:lpstr>
      <vt:lpstr>КДМ</vt:lpstr>
      <vt:lpstr>УО</vt:lpstr>
      <vt:lpstr>Муниц.услуги по отраслям</vt:lpstr>
      <vt:lpstr>Данные для заполнения</vt:lpstr>
      <vt:lpstr>'Администрация (ТК Салават)'!_ФильтрБазыДанных</vt:lpstr>
      <vt:lpstr>'ГО и ЧС (Пож.охрана)'!_ФильтрБазыДанных</vt:lpstr>
      <vt:lpstr>КДМ!_ФильтрБазыДанных</vt:lpstr>
      <vt:lpstr>ОК!_ФильтрБазыДанных</vt:lpstr>
      <vt:lpstr>'УГХ (Ритуал, Флора)'!_ФильтрБазыДанных</vt:lpstr>
      <vt:lpstr>УО!_ФильтрБазыДанных</vt:lpstr>
      <vt:lpstr>УФКС!_ФильтрБазыДанных</vt:lpstr>
      <vt:lpstr>'Администрация (ТК Салават)'!Заголовки_для_печати</vt:lpstr>
      <vt:lpstr>'ГО и ЧС (Пож.охрана)'!Заголовки_для_печати</vt:lpstr>
      <vt:lpstr>КДМ!Заголовки_для_печати</vt:lpstr>
      <vt:lpstr>ОК!Заголовки_для_печати</vt:lpstr>
      <vt:lpstr>'УГХ (Ритуал, Флора)'!Заголовки_для_печати</vt:lpstr>
      <vt:lpstr>УО!Заголовки_для_печати</vt:lpstr>
      <vt:lpstr>УФКС!Заголовки_для_печати</vt:lpstr>
      <vt:lpstr>'Администрация (ТК Салават)'!Область_печати</vt:lpstr>
      <vt:lpstr>'ГО и ЧС (Пож.охрана)'!Область_печати</vt:lpstr>
      <vt:lpstr>КДМ!Область_печати</vt:lpstr>
      <vt:lpstr>ОК!Область_печати</vt:lpstr>
      <vt:lpstr>'УГХ (Ритуал, Флора)'!Область_печати</vt:lpstr>
      <vt:lpstr>УО!Область_печати</vt:lpstr>
      <vt:lpstr>УФКС!Область_печати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Людмила Александровна Зверева</dc:creator>
  <dc:description/>
  <cp:lastModifiedBy>Людмила Александровна Зверева</cp:lastModifiedBy>
  <cp:revision>1</cp:revision>
  <cp:lastPrinted>2022-02-22T09:42:35Z</cp:lastPrinted>
  <dcterms:created xsi:type="dcterms:W3CDTF">2006-09-16T00:00:00Z</dcterms:created>
  <dcterms:modified xsi:type="dcterms:W3CDTF">2022-02-22T09:42:43Z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